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1. SEN - no statement" sheetId="1" r:id="rId1"/>
    <sheet name="2. Statements" sheetId="2" r:id="rId2"/>
    <sheet name="3. Need - both" sheetId="5" r:id="rId3"/>
    <sheet name="3. Need - P" sheetId="6" r:id="rId4"/>
    <sheet name="4. Need - S" sheetId="7" r:id="rId5"/>
  </sheets>
  <calcPr calcId="145621"/>
</workbook>
</file>

<file path=xl/calcChain.xml><?xml version="1.0" encoding="utf-8"?>
<calcChain xmlns="http://schemas.openxmlformats.org/spreadsheetml/2006/main">
  <c r="E20" i="7" l="1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N56" i="5" l="1"/>
  <c r="M56" i="5"/>
  <c r="L56" i="5"/>
  <c r="K56" i="5"/>
  <c r="J56" i="5"/>
  <c r="I56" i="5"/>
  <c r="H56" i="5"/>
  <c r="G56" i="5"/>
  <c r="F56" i="5"/>
  <c r="E56" i="5"/>
  <c r="D56" i="5"/>
  <c r="C56" i="5"/>
  <c r="B56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F48" i="1"/>
  <c r="F47" i="1"/>
  <c r="F46" i="1"/>
  <c r="F45" i="1"/>
  <c r="F44" i="1"/>
  <c r="F43" i="1"/>
  <c r="F42" i="1"/>
  <c r="F41" i="1"/>
  <c r="F40" i="1"/>
  <c r="F39" i="1"/>
  <c r="F38" i="1"/>
  <c r="F37" i="1"/>
  <c r="E48" i="1"/>
  <c r="E47" i="1"/>
  <c r="E46" i="1"/>
  <c r="E45" i="1"/>
  <c r="E44" i="1"/>
  <c r="E43" i="1"/>
  <c r="E42" i="1"/>
  <c r="E41" i="1"/>
  <c r="E40" i="1"/>
  <c r="E39" i="1"/>
  <c r="E38" i="1"/>
  <c r="E37" i="1"/>
  <c r="D63" i="2"/>
  <c r="D62" i="2"/>
  <c r="D61" i="2"/>
  <c r="D60" i="2"/>
  <c r="D59" i="2"/>
  <c r="D58" i="2"/>
  <c r="D57" i="2"/>
  <c r="D56" i="2"/>
  <c r="D55" i="2"/>
  <c r="D54" i="2"/>
  <c r="D53" i="2"/>
  <c r="D52" i="2"/>
  <c r="D48" i="2"/>
  <c r="D47" i="2"/>
  <c r="D46" i="2"/>
  <c r="D45" i="2"/>
  <c r="D44" i="2"/>
  <c r="D43" i="2"/>
  <c r="D42" i="2"/>
  <c r="D41" i="2"/>
  <c r="D40" i="2"/>
  <c r="D39" i="2"/>
  <c r="D38" i="2"/>
  <c r="D37" i="2"/>
  <c r="I63" i="2"/>
  <c r="I62" i="2"/>
  <c r="I61" i="2"/>
  <c r="I60" i="2"/>
  <c r="I59" i="2"/>
  <c r="I58" i="2"/>
  <c r="I57" i="2"/>
  <c r="I56" i="2"/>
  <c r="I55" i="2"/>
  <c r="I54" i="2"/>
  <c r="I53" i="2"/>
  <c r="I52" i="2"/>
  <c r="I48" i="2"/>
  <c r="I47" i="2"/>
  <c r="I46" i="2"/>
  <c r="I45" i="2"/>
  <c r="I44" i="2"/>
  <c r="I43" i="2"/>
  <c r="I42" i="2"/>
  <c r="I41" i="2"/>
  <c r="I40" i="2"/>
  <c r="I39" i="2"/>
  <c r="I38" i="2"/>
  <c r="I37" i="2"/>
  <c r="I33" i="2"/>
  <c r="I32" i="2"/>
  <c r="I31" i="2"/>
  <c r="I30" i="2"/>
  <c r="I29" i="2"/>
  <c r="I28" i="2"/>
  <c r="I27" i="2"/>
  <c r="I26" i="2"/>
  <c r="I25" i="2"/>
  <c r="I24" i="2"/>
  <c r="I23" i="2"/>
  <c r="I22" i="2"/>
  <c r="D33" i="2"/>
  <c r="D32" i="2"/>
  <c r="D31" i="2"/>
  <c r="D30" i="2"/>
  <c r="D29" i="2"/>
  <c r="D28" i="2"/>
  <c r="D27" i="2"/>
  <c r="D26" i="2"/>
  <c r="D25" i="2"/>
  <c r="D24" i="2"/>
  <c r="D23" i="2"/>
  <c r="D22" i="2"/>
  <c r="I18" i="2"/>
  <c r="I17" i="2"/>
  <c r="I16" i="2"/>
  <c r="I15" i="2"/>
  <c r="I14" i="2"/>
  <c r="I13" i="2"/>
  <c r="I12" i="2"/>
  <c r="I11" i="2"/>
  <c r="I10" i="2"/>
  <c r="I9" i="2"/>
  <c r="I8" i="2"/>
  <c r="I7" i="2"/>
  <c r="D18" i="2"/>
  <c r="D17" i="2"/>
  <c r="D16" i="2"/>
  <c r="D15" i="2"/>
  <c r="D14" i="2"/>
  <c r="D13" i="2"/>
  <c r="D12" i="2"/>
  <c r="D11" i="2"/>
  <c r="D10" i="2"/>
  <c r="D9" i="2"/>
  <c r="D8" i="2"/>
  <c r="D7" i="2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M18" i="1"/>
  <c r="M17" i="1"/>
  <c r="M16" i="1"/>
  <c r="M15" i="1"/>
  <c r="M14" i="1"/>
  <c r="M13" i="1"/>
  <c r="M12" i="1"/>
  <c r="M11" i="1"/>
  <c r="M10" i="1"/>
  <c r="M9" i="1"/>
  <c r="M8" i="1"/>
  <c r="M7" i="1"/>
  <c r="L8" i="1"/>
  <c r="L9" i="1"/>
  <c r="L10" i="1"/>
  <c r="L11" i="1"/>
  <c r="L12" i="1"/>
  <c r="L13" i="1"/>
  <c r="L14" i="1"/>
  <c r="L15" i="1"/>
  <c r="L16" i="1"/>
  <c r="L17" i="1"/>
  <c r="L18" i="1"/>
  <c r="L7" i="1"/>
</calcChain>
</file>

<file path=xl/sharedStrings.xml><?xml version="1.0" encoding="utf-8"?>
<sst xmlns="http://schemas.openxmlformats.org/spreadsheetml/2006/main" count="674" uniqueCount="67">
  <si>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</si>
  <si>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</si>
  <si>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</si>
  <si>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</si>
  <si>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</si>
  <si>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</si>
  <si>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</si>
  <si>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</si>
  <si>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</si>
  <si>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</si>
  <si>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</si>
  <si>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</si>
  <si>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 SEN Without Statement</t>
  </si>
  <si>
    <t>Total SEN Without Statement</t>
  </si>
  <si>
    <t>School Action Plus</t>
  </si>
  <si>
    <t>School Action</t>
  </si>
  <si>
    <t>Total Pupils</t>
  </si>
  <si>
    <t>Month of Birth</t>
  </si>
  <si>
    <t>Secondary - Girls</t>
  </si>
  <si>
    <t>Secondary - Boys</t>
  </si>
  <si>
    <t>Primary - Girls</t>
  </si>
  <si>
    <t>Primary - Boys</t>
  </si>
  <si>
    <t>January 2013</t>
  </si>
  <si>
    <t>January 2012</t>
  </si>
  <si>
    <t>1. SEN Without Statement</t>
  </si>
  <si>
    <t>FOIA 4072</t>
  </si>
  <si>
    <t>Statements</t>
  </si>
  <si>
    <t>% Statements</t>
  </si>
  <si>
    <t>2. SEN With Statement</t>
  </si>
  <si>
    <t>SpLD</t>
  </si>
  <si>
    <t>MLD</t>
  </si>
  <si>
    <t>SLD</t>
  </si>
  <si>
    <t>PMLD</t>
  </si>
  <si>
    <t>BESD</t>
  </si>
  <si>
    <t>SLCN</t>
  </si>
  <si>
    <t>HI</t>
  </si>
  <si>
    <t>VI</t>
  </si>
  <si>
    <t>MSI</t>
  </si>
  <si>
    <t>PD</t>
  </si>
  <si>
    <t>ASD</t>
  </si>
  <si>
    <t>Other</t>
  </si>
  <si>
    <t>Primary</t>
  </si>
  <si>
    <t>Secondary</t>
  </si>
  <si>
    <t>Jan 2012</t>
  </si>
  <si>
    <t>Jan 2013</t>
  </si>
  <si>
    <t>Specific Learning Difficulty</t>
  </si>
  <si>
    <t>Mild Learning Difficulty</t>
  </si>
  <si>
    <t>Severe Learning Difficulty</t>
  </si>
  <si>
    <t>Profound &amp; Multiple Learning Difficulty</t>
  </si>
  <si>
    <t>Behaviour, Emotional &amp; Social Difficulty</t>
  </si>
  <si>
    <t>Speech Language &amp; Communication Difficulty</t>
  </si>
  <si>
    <t>Hearing Impairment</t>
  </si>
  <si>
    <t>Visual Impairment</t>
  </si>
  <si>
    <t>Physical Disability</t>
  </si>
  <si>
    <t>Multi-Sensory Impairment</t>
  </si>
  <si>
    <t>Autistic Spectrum Disorder</t>
  </si>
  <si>
    <t>Type of Need is only available for School Action Plus and Statemented (not School Action)</t>
  </si>
  <si>
    <t>month</t>
  </si>
  <si>
    <t>OTH</t>
  </si>
  <si>
    <t>SPLD</t>
  </si>
  <si>
    <t>Grand Total</t>
  </si>
  <si>
    <t>Total</t>
  </si>
  <si>
    <t>Boys</t>
  </si>
  <si>
    <t>Girls</t>
  </si>
  <si>
    <t>Primary Type of Need - SEN - Statemented</t>
  </si>
  <si>
    <t>Primary Type of Need - SEN - School Action Plus</t>
  </si>
  <si>
    <t>Primary Type of Need - SEN - both school action and statemented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</si>
</sst>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6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0" xfId="0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0" borderId="0" xfId="0" applyFont="1"/>
    <xf numFmtId="0" fontId="3" fillId="0" borderId="0" xfId="0" quotePrefix="1" applyFont="1"/>
    <xf numFmtId="0" fontId="0" fillId="0" borderId="1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6" xfId="0" applyBorder="1"/>
    <xf numFmtId="9" fontId="0" fillId="0" borderId="7" xfId="1" applyFont="1" applyBorder="1"/>
    <xf numFmtId="9" fontId="0" fillId="0" borderId="4" xfId="1" applyFont="1" applyBorder="1"/>
    <xf numFmtId="9" fontId="0" fillId="0" borderId="1" xfId="1" applyFon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6" xfId="0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0" xfId="0" quotePrefix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4" xfId="0" applyNumberFormat="1" applyBorder="1" applyAlignment="1">
      <alignment vertical="top"/>
    </xf>
    <xf numFmtId="0" fontId="0" fillId="0" borderId="6" xfId="0" applyNumberFormat="1" applyBorder="1" applyAlignment="1">
      <alignment vertical="top"/>
    </xf>
    <xf numFmtId="0" fontId="0" fillId="0" borderId="4" xfId="0" applyNumberFormat="1" applyBorder="1" applyAlignment="1">
      <alignment vertical="top"/>
    </xf>
    <xf numFmtId="0" fontId="0" fillId="0" borderId="3" xfId="0" applyNumberFormat="1" applyBorder="1" applyAlignment="1">
      <alignment vertical="top"/>
    </xf>
    <xf numFmtId="0" fontId="0" fillId="0" borderId="1" xfId="0" applyNumberFormat="1" applyBorder="1" applyAlignment="1">
      <alignment vertical="top"/>
    </xf>
    <xf numFmtId="0" fontId="0" fillId="0" borderId="7" xfId="0" applyNumberFormat="1" applyBorder="1" applyAlignment="1">
      <alignment vertical="top"/>
    </xf>
    <xf numFmtId="0" fontId="0" fillId="0" borderId="13" xfId="0" applyNumberFormat="1" applyBorder="1" applyAlignment="1">
      <alignment vertical="top"/>
    </xf>
    <xf numFmtId="0" fontId="0" fillId="0" borderId="15" xfId="0" applyNumberFormat="1" applyBorder="1" applyAlignment="1">
      <alignment vertical="top"/>
    </xf>
    <xf numFmtId="0" fontId="0" fillId="0" borderId="17" xfId="0" applyNumberFormat="1" applyBorder="1" applyAlignment="1">
      <alignment vertical="top"/>
    </xf>
    <xf numFmtId="0" fontId="0" fillId="0" borderId="19" xfId="0" applyNumberFormat="1" applyBorder="1" applyAlignment="1">
      <alignment vertical="top"/>
    </xf>
    <xf numFmtId="0" fontId="0" fillId="0" borderId="13" xfId="0" applyBorder="1"/>
    <xf numFmtId="0" fontId="4" fillId="0" borderId="0" xfId="0" applyFont="1"/>
    <xf numFmtId="164" fontId="0" fillId="0" borderId="7" xfId="1" applyNumberFormat="1" applyFont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0" fontId="0" fillId="0" borderId="17" xfId="0" quotePrefix="1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17" fontId="0" fillId="0" borderId="17" xfId="0" quotePrefix="1" applyNumberFormat="1" applyBorder="1" applyAlignment="1">
      <alignment horizontal="center"/>
    </xf>
    <xf numFmtId="17" fontId="0" fillId="0" borderId="19" xfId="0" quotePrefix="1" applyNumberFormat="1" applyBorder="1" applyAlignment="1">
      <alignment horizontal="center"/>
    </xf>
    <xf numFmtId="17" fontId="0" fillId="0" borderId="20" xfId="0" quotePrefix="1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4" displayName="Table14" ref="A26:N39" totalsRowCount="1">
  <autoFilter ref="A26:N38"/>
  <tableColumns count="14">
    <tableColumn id="1" name="month" totalsRowLabel="Total"/>
    <tableColumn id="2" name="ASD" totalsRowFunction="sum"/>
    <tableColumn id="3" name="BESD" totalsRowFunction="sum"/>
    <tableColumn id="4" name="HI" totalsRowFunction="sum"/>
    <tableColumn id="5" name="MLD" totalsRowFunction="sum"/>
    <tableColumn id="6" name="MSI" totalsRowFunction="sum"/>
    <tableColumn id="7" name="OTH" totalsRowFunction="sum"/>
    <tableColumn id="8" name="PD" totalsRowFunction="sum"/>
    <tableColumn id="9" name="PMLD" totalsRowFunction="sum"/>
    <tableColumn id="10" name="SLCN" totalsRowFunction="sum"/>
    <tableColumn id="11" name="SLD" totalsRowFunction="sum"/>
    <tableColumn id="12" name="SPLD" totalsRowFunction="sum"/>
    <tableColumn id="13" name="VI" totalsRowFunction="sum"/>
    <tableColumn id="14" name="Grand Total" totalsRowFunction="sum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4" name="Table135" displayName="Table135" ref="A43:N56" totalsRowCount="1">
  <autoFilter ref="A43:N55"/>
  <tableColumns count="14">
    <tableColumn id="1" name="month" totalsRowLabel="Total"/>
    <tableColumn id="2" name="ASD" totalsRowFunction="sum"/>
    <tableColumn id="3" name="BESD" totalsRowFunction="sum"/>
    <tableColumn id="4" name="HI" totalsRowFunction="sum"/>
    <tableColumn id="5" name="MLD" totalsRowFunction="sum"/>
    <tableColumn id="6" name="MSI" totalsRowFunction="sum"/>
    <tableColumn id="7" name="OTH" totalsRowFunction="sum"/>
    <tableColumn id="8" name="PD" totalsRowFunction="sum"/>
    <tableColumn id="9" name="PMLD" totalsRowFunction="sum"/>
    <tableColumn id="10" name="SLCN" totalsRowFunction="sum"/>
    <tableColumn id="11" name="SLD" totalsRowFunction="sum"/>
    <tableColumn id="12" name="SPLD" totalsRowFunction="sum"/>
    <tableColumn id="13" name="VI" totalsRowFunction="sum"/>
    <tableColumn id="14" name="Grand Total" totalsRowFunction="sum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" name="Table142" displayName="Table142" ref="A26:N39" totalsRowCount="1">
  <autoFilter ref="A26:N38"/>
  <tableColumns count="14">
    <tableColumn id="1" name="month" totalsRowLabel="Total"/>
    <tableColumn id="2" name="ASD" totalsRowFunction="sum"/>
    <tableColumn id="3" name="BESD" totalsRowFunction="sum"/>
    <tableColumn id="4" name="HI" totalsRowFunction="sum"/>
    <tableColumn id="5" name="MLD" totalsRowFunction="sum"/>
    <tableColumn id="6" name="MSI" totalsRowFunction="sum"/>
    <tableColumn id="7" name="OTH" totalsRowFunction="sum"/>
    <tableColumn id="8" name="PD" totalsRowFunction="sum"/>
    <tableColumn id="9" name="PMLD" totalsRowFunction="sum"/>
    <tableColumn id="10" name="SLCN" totalsRowFunction="sum"/>
    <tableColumn id="11" name="SLD" totalsRowFunction="sum"/>
    <tableColumn id="12" name="SPLD" totalsRowFunction="sum"/>
    <tableColumn id="13" name="VI" totalsRowFunction="sum"/>
    <tableColumn id="14" name="Grand Total" totalsRowFunction="sum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2" name="Table1353" displayName="Table1353" ref="A43:N56" totalsRowCount="1">
  <autoFilter ref="A43:N55"/>
  <tableColumns count="14">
    <tableColumn id="1" name="month" totalsRowLabel="Total"/>
    <tableColumn id="2" name="ASD" totalsRowFunction="sum"/>
    <tableColumn id="3" name="BESD" totalsRowFunction="sum"/>
    <tableColumn id="4" name="HI" totalsRowFunction="sum"/>
    <tableColumn id="5" name="MLD" totalsRowFunction="sum"/>
    <tableColumn id="6" name="MSI" totalsRowFunction="sum"/>
    <tableColumn id="7" name="OTH" totalsRowFunction="sum"/>
    <tableColumn id="8" name="PD" totalsRowFunction="sum"/>
    <tableColumn id="9" name="PMLD" totalsRowFunction="sum"/>
    <tableColumn id="10" name="SLCN" totalsRowFunction="sum"/>
    <tableColumn id="11" name="SLD" totalsRowFunction="sum"/>
    <tableColumn id="12" name="SPLD" totalsRowFunction="sum"/>
    <tableColumn id="13" name="VI" totalsRowFunction="sum"/>
    <tableColumn id="14" name="Grand Total" totalsRowFunction="sum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5" name="Table1426" displayName="Table1426" ref="A26:N39" totalsRowCount="1">
  <autoFilter ref="A26:N38"/>
  <tableColumns count="14">
    <tableColumn id="1" name="month" totalsRowLabel="Total"/>
    <tableColumn id="2" name="ASD" totalsRowFunction="sum"/>
    <tableColumn id="3" name="BESD" totalsRowFunction="sum"/>
    <tableColumn id="4" name="HI" totalsRowFunction="sum"/>
    <tableColumn id="5" name="MLD" totalsRowFunction="sum"/>
    <tableColumn id="6" name="MSI" totalsRowFunction="sum"/>
    <tableColumn id="7" name="OTH" totalsRowFunction="sum"/>
    <tableColumn id="8" name="PD" totalsRowFunction="sum"/>
    <tableColumn id="9" name="PMLD" totalsRowFunction="sum"/>
    <tableColumn id="10" name="SLCN" totalsRowFunction="sum"/>
    <tableColumn id="11" name="SLD" totalsRowFunction="sum"/>
    <tableColumn id="12" name="SPLD" totalsRowFunction="sum"/>
    <tableColumn id="13" name="VI" totalsRowFunction="sum"/>
    <tableColumn id="14" name="Grand Total" totalsRowFunction="sum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id="6" name="Table13537" displayName="Table13537" ref="A43:N56" totalsRowCount="1">
  <autoFilter ref="A43:N55"/>
  <tableColumns count="14">
    <tableColumn id="1" name="month" totalsRowLabel="Total"/>
    <tableColumn id="2" name="ASD" totalsRowFunction="sum"/>
    <tableColumn id="3" name="BESD" totalsRowFunction="sum"/>
    <tableColumn id="4" name="HI" totalsRowFunction="sum"/>
    <tableColumn id="5" name="MLD" totalsRowFunction="sum"/>
    <tableColumn id="6" name="MSI" totalsRowFunction="sum"/>
    <tableColumn id="7" name="OTH" totalsRowFunction="sum"/>
    <tableColumn id="8" name="PD" totalsRowFunction="sum"/>
    <tableColumn id="9" name="PMLD" totalsRowFunction="sum"/>
    <tableColumn id="10" name="SLCN" totalsRowFunction="sum"/>
    <tableColumn id="11" name="SLD" totalsRowFunction="sum"/>
    <tableColumn id="12" name="SPLD" totalsRowFunction="sum"/>
    <tableColumn id="13" name="VI" totalsRowFunction="sum"/>
    <tableColumn id="14" name="Grand Total" totalsRowFunction="sum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="90" zoomScaleNormal="90" workbookViewId="0">
      <selection activeCell="B1" sqref="B1"/>
    </sheetView>
  </sheetViews>
  <sheetFormatPr defaultRowHeight="12.75" x14ac:dyDescent="0.2"/>
  <cols>
    <col min="1" max="1" width="18.140625" customWidth="1"/>
    <col min="2" max="2" width="13.7109375" customWidth="1"/>
    <col min="3" max="6" width="13.140625" customWidth="1"/>
    <col min="8" max="8" width="16.85546875" customWidth="1"/>
    <col min="9" max="9" width="13.140625" customWidth="1"/>
    <col min="10" max="13" width="13.7109375" customWidth="1"/>
  </cols>
  <sheetData>
    <row r="1" spans="1:13" x14ac:dyDescent="0.2">
      <c r="A1" s="14" t="s">
        <v>25</v>
      </c>
    </row>
    <row r="3" spans="1:13" x14ac:dyDescent="0.2">
      <c r="A3" s="14" t="s">
        <v>24</v>
      </c>
    </row>
    <row r="4" spans="1:13" x14ac:dyDescent="0.2">
      <c r="C4" s="15" t="s">
        <v>23</v>
      </c>
      <c r="J4" s="15" t="s">
        <v>22</v>
      </c>
    </row>
    <row r="5" spans="1:13" ht="13.5" thickBot="1" x14ac:dyDescent="0.25">
      <c r="A5" s="14" t="s">
        <v>21</v>
      </c>
      <c r="H5" s="14" t="s">
        <v>21</v>
      </c>
    </row>
    <row r="6" spans="1:13" s="10" customFormat="1" ht="39" thickBot="1" x14ac:dyDescent="0.25">
      <c r="A6" s="13" t="s">
        <v>17</v>
      </c>
      <c r="B6" s="12" t="s">
        <v>16</v>
      </c>
      <c r="C6" s="12" t="s">
        <v>15</v>
      </c>
      <c r="D6" s="12" t="s">
        <v>14</v>
      </c>
      <c r="E6" s="12" t="s">
        <v>13</v>
      </c>
      <c r="F6" s="11" t="s">
        <v>12</v>
      </c>
      <c r="H6" s="13" t="s">
        <v>17</v>
      </c>
      <c r="I6" s="12" t="s">
        <v>16</v>
      </c>
      <c r="J6" s="12" t="s">
        <v>15</v>
      </c>
      <c r="K6" s="12" t="s">
        <v>14</v>
      </c>
      <c r="L6" s="12" t="s">
        <v>13</v>
      </c>
      <c r="M6" s="11" t="s">
        <v>12</v>
      </c>
    </row>
    <row r="7" spans="1:13" x14ac:dyDescent="0.2">
      <c r="A7" s="9" t="s">
        <v>11</v>
      </c>
      <c r="B7" s="8">
        <v>1165</v>
      </c>
      <c r="C7" s="8">
        <v>152</v>
      </c>
      <c r="D7" s="8">
        <v>79</v>
      </c>
      <c r="E7" s="8">
        <f>SUM(C7:D7)</f>
        <v>231</v>
      </c>
      <c r="F7" s="19">
        <f>E7/B7</f>
        <v>0.19828326180257511</v>
      </c>
      <c r="H7" s="9" t="s">
        <v>11</v>
      </c>
      <c r="I7" s="8">
        <v>1209</v>
      </c>
      <c r="J7" s="8">
        <v>133</v>
      </c>
      <c r="K7" s="8">
        <v>92</v>
      </c>
      <c r="L7" s="8">
        <f>SUM(J7:K7)</f>
        <v>225</v>
      </c>
      <c r="M7" s="19">
        <f>L7/I7</f>
        <v>0.18610421836228289</v>
      </c>
    </row>
    <row r="8" spans="1:13" x14ac:dyDescent="0.2">
      <c r="A8" s="6" t="s">
        <v>10</v>
      </c>
      <c r="B8" s="5">
        <v>1093</v>
      </c>
      <c r="C8" s="5">
        <v>134</v>
      </c>
      <c r="D8" s="5">
        <v>97</v>
      </c>
      <c r="E8" s="8">
        <f t="shared" ref="E8:E18" si="0">SUM(C8:D8)</f>
        <v>231</v>
      </c>
      <c r="F8" s="20">
        <f t="shared" ref="F8:F18" si="1">E8/B8</f>
        <v>0.21134492223238793</v>
      </c>
      <c r="H8" s="6" t="s">
        <v>10</v>
      </c>
      <c r="I8" s="5">
        <v>1108</v>
      </c>
      <c r="J8" s="5">
        <v>124</v>
      </c>
      <c r="K8" s="5">
        <v>112</v>
      </c>
      <c r="L8" s="8">
        <f t="shared" ref="L8:L18" si="2">SUM(J8:K8)</f>
        <v>236</v>
      </c>
      <c r="M8" s="20">
        <f t="shared" ref="M8:M18" si="3">L8/I8</f>
        <v>0.21299638989169675</v>
      </c>
    </row>
    <row r="9" spans="1:13" x14ac:dyDescent="0.2">
      <c r="A9" s="6" t="s">
        <v>9</v>
      </c>
      <c r="B9" s="5">
        <v>1190</v>
      </c>
      <c r="C9" s="5">
        <v>134</v>
      </c>
      <c r="D9" s="5">
        <v>93</v>
      </c>
      <c r="E9" s="8">
        <f t="shared" si="0"/>
        <v>227</v>
      </c>
      <c r="F9" s="20">
        <f t="shared" si="1"/>
        <v>0.19075630252100839</v>
      </c>
      <c r="H9" s="6" t="s">
        <v>9</v>
      </c>
      <c r="I9" s="5">
        <v>1242</v>
      </c>
      <c r="J9" s="5">
        <v>137</v>
      </c>
      <c r="K9" s="5">
        <v>85</v>
      </c>
      <c r="L9" s="8">
        <f t="shared" si="2"/>
        <v>222</v>
      </c>
      <c r="M9" s="20">
        <f t="shared" si="3"/>
        <v>0.17874396135265699</v>
      </c>
    </row>
    <row r="10" spans="1:13" x14ac:dyDescent="0.2">
      <c r="A10" s="6" t="s">
        <v>8</v>
      </c>
      <c r="B10" s="5">
        <v>1177</v>
      </c>
      <c r="C10" s="5">
        <v>179</v>
      </c>
      <c r="D10" s="5">
        <v>104</v>
      </c>
      <c r="E10" s="8">
        <f t="shared" si="0"/>
        <v>283</v>
      </c>
      <c r="F10" s="20">
        <f t="shared" si="1"/>
        <v>0.24044180118946473</v>
      </c>
      <c r="H10" s="6" t="s">
        <v>8</v>
      </c>
      <c r="I10" s="5">
        <v>1219</v>
      </c>
      <c r="J10" s="5">
        <v>164</v>
      </c>
      <c r="K10" s="5">
        <v>101</v>
      </c>
      <c r="L10" s="8">
        <f t="shared" si="2"/>
        <v>265</v>
      </c>
      <c r="M10" s="20">
        <f t="shared" si="3"/>
        <v>0.21739130434782608</v>
      </c>
    </row>
    <row r="11" spans="1:13" x14ac:dyDescent="0.2">
      <c r="A11" s="6" t="s">
        <v>7</v>
      </c>
      <c r="B11" s="5">
        <v>1239</v>
      </c>
      <c r="C11" s="5">
        <v>182</v>
      </c>
      <c r="D11" s="5">
        <v>126</v>
      </c>
      <c r="E11" s="8">
        <f t="shared" si="0"/>
        <v>308</v>
      </c>
      <c r="F11" s="20">
        <f t="shared" si="1"/>
        <v>0.24858757062146894</v>
      </c>
      <c r="H11" s="6" t="s">
        <v>7</v>
      </c>
      <c r="I11" s="5">
        <v>1251</v>
      </c>
      <c r="J11" s="5">
        <v>178</v>
      </c>
      <c r="K11" s="5">
        <v>152</v>
      </c>
      <c r="L11" s="8">
        <f t="shared" si="2"/>
        <v>330</v>
      </c>
      <c r="M11" s="20">
        <f t="shared" si="3"/>
        <v>0.26378896882494007</v>
      </c>
    </row>
    <row r="12" spans="1:13" x14ac:dyDescent="0.2">
      <c r="A12" s="6" t="s">
        <v>6</v>
      </c>
      <c r="B12" s="5">
        <v>1214</v>
      </c>
      <c r="C12" s="5">
        <v>202</v>
      </c>
      <c r="D12" s="5">
        <v>111</v>
      </c>
      <c r="E12" s="8">
        <f t="shared" si="0"/>
        <v>313</v>
      </c>
      <c r="F12" s="20">
        <f t="shared" si="1"/>
        <v>0.25782537067545303</v>
      </c>
      <c r="H12" s="6" t="s">
        <v>6</v>
      </c>
      <c r="I12" s="5">
        <v>1244</v>
      </c>
      <c r="J12" s="5">
        <v>192</v>
      </c>
      <c r="K12" s="5">
        <v>123</v>
      </c>
      <c r="L12" s="8">
        <f t="shared" si="2"/>
        <v>315</v>
      </c>
      <c r="M12" s="20">
        <f t="shared" si="3"/>
        <v>0.25321543408360131</v>
      </c>
    </row>
    <row r="13" spans="1:13" x14ac:dyDescent="0.2">
      <c r="A13" s="6" t="s">
        <v>5</v>
      </c>
      <c r="B13" s="5">
        <v>1229</v>
      </c>
      <c r="C13" s="5">
        <v>221</v>
      </c>
      <c r="D13" s="5">
        <v>148</v>
      </c>
      <c r="E13" s="8">
        <f t="shared" si="0"/>
        <v>369</v>
      </c>
      <c r="F13" s="20">
        <f t="shared" si="1"/>
        <v>0.30024410089503661</v>
      </c>
      <c r="H13" s="6" t="s">
        <v>5</v>
      </c>
      <c r="I13" s="5">
        <v>1261</v>
      </c>
      <c r="J13" s="5">
        <v>195</v>
      </c>
      <c r="K13" s="5">
        <v>154</v>
      </c>
      <c r="L13" s="8">
        <f t="shared" si="2"/>
        <v>349</v>
      </c>
      <c r="M13" s="20">
        <f t="shared" si="3"/>
        <v>0.27676447264076132</v>
      </c>
    </row>
    <row r="14" spans="1:13" x14ac:dyDescent="0.2">
      <c r="A14" s="6" t="s">
        <v>4</v>
      </c>
      <c r="B14" s="5">
        <v>1236</v>
      </c>
      <c r="C14" s="5">
        <v>218</v>
      </c>
      <c r="D14" s="5">
        <v>141</v>
      </c>
      <c r="E14" s="8">
        <f t="shared" si="0"/>
        <v>359</v>
      </c>
      <c r="F14" s="20">
        <f t="shared" si="1"/>
        <v>0.29045307443365698</v>
      </c>
      <c r="H14" s="6" t="s">
        <v>4</v>
      </c>
      <c r="I14" s="5">
        <v>1267</v>
      </c>
      <c r="J14" s="5">
        <v>212</v>
      </c>
      <c r="K14" s="5">
        <v>156</v>
      </c>
      <c r="L14" s="8">
        <f t="shared" si="2"/>
        <v>368</v>
      </c>
      <c r="M14" s="20">
        <f t="shared" si="3"/>
        <v>0.2904498816101026</v>
      </c>
    </row>
    <row r="15" spans="1:13" x14ac:dyDescent="0.2">
      <c r="A15" s="6" t="s">
        <v>3</v>
      </c>
      <c r="B15" s="5">
        <v>1236</v>
      </c>
      <c r="C15" s="5">
        <v>127</v>
      </c>
      <c r="D15" s="5">
        <v>100</v>
      </c>
      <c r="E15" s="8">
        <f t="shared" si="0"/>
        <v>227</v>
      </c>
      <c r="F15" s="20">
        <f t="shared" si="1"/>
        <v>0.1836569579288026</v>
      </c>
      <c r="H15" s="6" t="s">
        <v>3</v>
      </c>
      <c r="I15" s="5">
        <v>1257</v>
      </c>
      <c r="J15" s="5">
        <v>102</v>
      </c>
      <c r="K15" s="5">
        <v>96</v>
      </c>
      <c r="L15" s="8">
        <f t="shared" si="2"/>
        <v>198</v>
      </c>
      <c r="M15" s="20">
        <f t="shared" si="3"/>
        <v>0.15751789976133651</v>
      </c>
    </row>
    <row r="16" spans="1:13" x14ac:dyDescent="0.2">
      <c r="A16" s="6" t="s">
        <v>2</v>
      </c>
      <c r="B16" s="5">
        <v>1248</v>
      </c>
      <c r="C16" s="5">
        <v>123</v>
      </c>
      <c r="D16" s="5">
        <v>98</v>
      </c>
      <c r="E16" s="8">
        <f t="shared" si="0"/>
        <v>221</v>
      </c>
      <c r="F16" s="20">
        <f t="shared" si="1"/>
        <v>0.17708333333333334</v>
      </c>
      <c r="H16" s="6" t="s">
        <v>2</v>
      </c>
      <c r="I16" s="5">
        <v>1231</v>
      </c>
      <c r="J16" s="5">
        <v>96</v>
      </c>
      <c r="K16" s="5">
        <v>106</v>
      </c>
      <c r="L16" s="8">
        <f t="shared" si="2"/>
        <v>202</v>
      </c>
      <c r="M16" s="20">
        <f t="shared" si="3"/>
        <v>0.16409423233143786</v>
      </c>
    </row>
    <row r="17" spans="1:13" x14ac:dyDescent="0.2">
      <c r="A17" s="6" t="s">
        <v>1</v>
      </c>
      <c r="B17" s="5">
        <v>1179</v>
      </c>
      <c r="C17" s="5">
        <v>122</v>
      </c>
      <c r="D17" s="5">
        <v>95</v>
      </c>
      <c r="E17" s="8">
        <f t="shared" si="0"/>
        <v>217</v>
      </c>
      <c r="F17" s="20">
        <f t="shared" si="1"/>
        <v>0.18405428329092452</v>
      </c>
      <c r="H17" s="6" t="s">
        <v>1</v>
      </c>
      <c r="I17" s="5">
        <v>1233</v>
      </c>
      <c r="J17" s="5">
        <v>108</v>
      </c>
      <c r="K17" s="5">
        <v>103</v>
      </c>
      <c r="L17" s="8">
        <f t="shared" si="2"/>
        <v>211</v>
      </c>
      <c r="M17" s="20">
        <f t="shared" si="3"/>
        <v>0.17112733171127331</v>
      </c>
    </row>
    <row r="18" spans="1:13" ht="13.5" thickBot="1" x14ac:dyDescent="0.25">
      <c r="A18" s="3" t="s">
        <v>0</v>
      </c>
      <c r="B18" s="2">
        <v>1251</v>
      </c>
      <c r="C18" s="2">
        <v>154</v>
      </c>
      <c r="D18" s="2">
        <v>83</v>
      </c>
      <c r="E18" s="18">
        <f t="shared" si="0"/>
        <v>237</v>
      </c>
      <c r="F18" s="21">
        <f t="shared" si="1"/>
        <v>0.18944844124700239</v>
      </c>
      <c r="H18" s="3" t="s">
        <v>0</v>
      </c>
      <c r="I18" s="2">
        <v>1311</v>
      </c>
      <c r="J18" s="2">
        <v>127</v>
      </c>
      <c r="K18" s="2">
        <v>106</v>
      </c>
      <c r="L18" s="18">
        <f t="shared" si="2"/>
        <v>233</v>
      </c>
      <c r="M18" s="21">
        <f t="shared" si="3"/>
        <v>0.17772692601067888</v>
      </c>
    </row>
    <row r="20" spans="1:13" ht="13.5" thickBot="1" x14ac:dyDescent="0.25">
      <c r="A20" s="14" t="s">
        <v>20</v>
      </c>
      <c r="H20" s="14" t="s">
        <v>20</v>
      </c>
    </row>
    <row r="21" spans="1:13" s="10" customFormat="1" ht="39" thickBot="1" x14ac:dyDescent="0.25">
      <c r="A21" s="13" t="s">
        <v>17</v>
      </c>
      <c r="B21" s="12" t="s">
        <v>16</v>
      </c>
      <c r="C21" s="12" t="s">
        <v>15</v>
      </c>
      <c r="D21" s="12" t="s">
        <v>14</v>
      </c>
      <c r="E21" s="12" t="s">
        <v>13</v>
      </c>
      <c r="F21" s="11" t="s">
        <v>12</v>
      </c>
      <c r="H21" s="13" t="s">
        <v>17</v>
      </c>
      <c r="I21" s="12" t="s">
        <v>16</v>
      </c>
      <c r="J21" s="12" t="s">
        <v>15</v>
      </c>
      <c r="K21" s="12" t="s">
        <v>14</v>
      </c>
      <c r="L21" s="12" t="s">
        <v>13</v>
      </c>
      <c r="M21" s="11" t="s">
        <v>12</v>
      </c>
    </row>
    <row r="22" spans="1:13" x14ac:dyDescent="0.2">
      <c r="A22" s="9" t="s">
        <v>11</v>
      </c>
      <c r="B22" s="8">
        <v>1134</v>
      </c>
      <c r="C22" s="8">
        <v>88</v>
      </c>
      <c r="D22" s="8">
        <v>51</v>
      </c>
      <c r="E22" s="8">
        <f>SUM(C22:D22)</f>
        <v>139</v>
      </c>
      <c r="F22" s="19">
        <f>E22/B22</f>
        <v>0.12257495590828923</v>
      </c>
      <c r="H22" s="9" t="s">
        <v>11</v>
      </c>
      <c r="I22" s="8">
        <v>1163</v>
      </c>
      <c r="J22" s="8">
        <v>67</v>
      </c>
      <c r="K22" s="8">
        <v>54</v>
      </c>
      <c r="L22" s="8">
        <f>SUM(J22:K22)</f>
        <v>121</v>
      </c>
      <c r="M22" s="19">
        <f>L22/I22</f>
        <v>0.10404127257093723</v>
      </c>
    </row>
    <row r="23" spans="1:13" x14ac:dyDescent="0.2">
      <c r="A23" s="6" t="s">
        <v>10</v>
      </c>
      <c r="B23" s="5">
        <v>951</v>
      </c>
      <c r="C23" s="5">
        <v>73</v>
      </c>
      <c r="D23" s="5">
        <v>32</v>
      </c>
      <c r="E23" s="8">
        <f t="shared" ref="E23:E33" si="4">SUM(C23:D23)</f>
        <v>105</v>
      </c>
      <c r="F23" s="20">
        <f t="shared" ref="F23:F33" si="5">E23/B23</f>
        <v>0.11041009463722397</v>
      </c>
      <c r="H23" s="6" t="s">
        <v>10</v>
      </c>
      <c r="I23" s="5">
        <v>1019</v>
      </c>
      <c r="J23" s="5">
        <v>63</v>
      </c>
      <c r="K23" s="5">
        <v>36</v>
      </c>
      <c r="L23" s="8">
        <f t="shared" ref="L23:L33" si="6">SUM(J23:K23)</f>
        <v>99</v>
      </c>
      <c r="M23" s="20">
        <f t="shared" ref="M23:M33" si="7">L23/I23</f>
        <v>9.7154072620215901E-2</v>
      </c>
    </row>
    <row r="24" spans="1:13" x14ac:dyDescent="0.2">
      <c r="A24" s="6" t="s">
        <v>9</v>
      </c>
      <c r="B24" s="5">
        <v>1111</v>
      </c>
      <c r="C24" s="5">
        <v>101</v>
      </c>
      <c r="D24" s="5">
        <v>40</v>
      </c>
      <c r="E24" s="8">
        <f t="shared" si="4"/>
        <v>141</v>
      </c>
      <c r="F24" s="20">
        <f t="shared" si="5"/>
        <v>0.12691269126912691</v>
      </c>
      <c r="H24" s="6" t="s">
        <v>9</v>
      </c>
      <c r="I24" s="5">
        <v>1143</v>
      </c>
      <c r="J24" s="5">
        <v>89</v>
      </c>
      <c r="K24" s="5">
        <v>45</v>
      </c>
      <c r="L24" s="8">
        <f t="shared" si="6"/>
        <v>134</v>
      </c>
      <c r="M24" s="20">
        <f t="shared" si="7"/>
        <v>0.11723534558180228</v>
      </c>
    </row>
    <row r="25" spans="1:13" x14ac:dyDescent="0.2">
      <c r="A25" s="6" t="s">
        <v>8</v>
      </c>
      <c r="B25" s="5">
        <v>1079</v>
      </c>
      <c r="C25" s="5">
        <v>115</v>
      </c>
      <c r="D25" s="5">
        <v>43</v>
      </c>
      <c r="E25" s="8">
        <f t="shared" si="4"/>
        <v>158</v>
      </c>
      <c r="F25" s="20">
        <f t="shared" si="5"/>
        <v>0.1464318813716404</v>
      </c>
      <c r="H25" s="6" t="s">
        <v>8</v>
      </c>
      <c r="I25" s="5">
        <v>1134</v>
      </c>
      <c r="J25" s="5">
        <v>107</v>
      </c>
      <c r="K25" s="5">
        <v>55</v>
      </c>
      <c r="L25" s="8">
        <f t="shared" si="6"/>
        <v>162</v>
      </c>
      <c r="M25" s="20">
        <f t="shared" si="7"/>
        <v>0.14285714285714285</v>
      </c>
    </row>
    <row r="26" spans="1:13" x14ac:dyDescent="0.2">
      <c r="A26" s="6" t="s">
        <v>7</v>
      </c>
      <c r="B26" s="5">
        <v>1154</v>
      </c>
      <c r="C26" s="5">
        <v>115</v>
      </c>
      <c r="D26" s="5">
        <v>49</v>
      </c>
      <c r="E26" s="8">
        <f t="shared" si="4"/>
        <v>164</v>
      </c>
      <c r="F26" s="20">
        <f t="shared" si="5"/>
        <v>0.14211438474870017</v>
      </c>
      <c r="H26" s="6" t="s">
        <v>7</v>
      </c>
      <c r="I26" s="5">
        <v>1172</v>
      </c>
      <c r="J26" s="5">
        <v>107</v>
      </c>
      <c r="K26" s="5">
        <v>55</v>
      </c>
      <c r="L26" s="8">
        <f t="shared" si="6"/>
        <v>162</v>
      </c>
      <c r="M26" s="20">
        <f t="shared" si="7"/>
        <v>0.13822525597269625</v>
      </c>
    </row>
    <row r="27" spans="1:13" x14ac:dyDescent="0.2">
      <c r="A27" s="6" t="s">
        <v>6</v>
      </c>
      <c r="B27" s="5">
        <v>1103</v>
      </c>
      <c r="C27" s="5">
        <v>123</v>
      </c>
      <c r="D27" s="5">
        <v>37</v>
      </c>
      <c r="E27" s="8">
        <f t="shared" si="4"/>
        <v>160</v>
      </c>
      <c r="F27" s="20">
        <f t="shared" si="5"/>
        <v>0.14505893019038985</v>
      </c>
      <c r="H27" s="6" t="s">
        <v>6</v>
      </c>
      <c r="I27" s="5">
        <v>1125</v>
      </c>
      <c r="J27" s="5">
        <v>103</v>
      </c>
      <c r="K27" s="5">
        <v>53</v>
      </c>
      <c r="L27" s="8">
        <f t="shared" si="6"/>
        <v>156</v>
      </c>
      <c r="M27" s="20">
        <f t="shared" si="7"/>
        <v>0.13866666666666666</v>
      </c>
    </row>
    <row r="28" spans="1:13" x14ac:dyDescent="0.2">
      <c r="A28" s="6" t="s">
        <v>5</v>
      </c>
      <c r="B28" s="5">
        <v>1175</v>
      </c>
      <c r="C28" s="5">
        <v>142</v>
      </c>
      <c r="D28" s="5">
        <v>41</v>
      </c>
      <c r="E28" s="8">
        <f t="shared" si="4"/>
        <v>183</v>
      </c>
      <c r="F28" s="20">
        <f t="shared" si="5"/>
        <v>0.15574468085106383</v>
      </c>
      <c r="H28" s="6" t="s">
        <v>5</v>
      </c>
      <c r="I28" s="5">
        <v>1218</v>
      </c>
      <c r="J28" s="5">
        <v>132</v>
      </c>
      <c r="K28" s="5">
        <v>56</v>
      </c>
      <c r="L28" s="8">
        <f t="shared" si="6"/>
        <v>188</v>
      </c>
      <c r="M28" s="20">
        <f t="shared" si="7"/>
        <v>0.15435139573070608</v>
      </c>
    </row>
    <row r="29" spans="1:13" x14ac:dyDescent="0.2">
      <c r="A29" s="6" t="s">
        <v>4</v>
      </c>
      <c r="B29" s="5">
        <v>1206</v>
      </c>
      <c r="C29" s="5">
        <v>160</v>
      </c>
      <c r="D29" s="5">
        <v>55</v>
      </c>
      <c r="E29" s="8">
        <f t="shared" si="4"/>
        <v>215</v>
      </c>
      <c r="F29" s="20">
        <f t="shared" si="5"/>
        <v>0.17827529021558872</v>
      </c>
      <c r="H29" s="6" t="s">
        <v>4</v>
      </c>
      <c r="I29" s="5">
        <v>1241</v>
      </c>
      <c r="J29" s="5">
        <v>135</v>
      </c>
      <c r="K29" s="5">
        <v>67</v>
      </c>
      <c r="L29" s="8">
        <f t="shared" si="6"/>
        <v>202</v>
      </c>
      <c r="M29" s="20">
        <f t="shared" si="7"/>
        <v>0.16277195809830783</v>
      </c>
    </row>
    <row r="30" spans="1:13" x14ac:dyDescent="0.2">
      <c r="A30" s="6" t="s">
        <v>3</v>
      </c>
      <c r="B30" s="5">
        <v>1188</v>
      </c>
      <c r="C30" s="5">
        <v>53</v>
      </c>
      <c r="D30" s="5">
        <v>30</v>
      </c>
      <c r="E30" s="8">
        <f t="shared" si="4"/>
        <v>83</v>
      </c>
      <c r="F30" s="20">
        <f t="shared" si="5"/>
        <v>6.9865319865319866E-2</v>
      </c>
      <c r="H30" s="6" t="s">
        <v>3</v>
      </c>
      <c r="I30" s="5">
        <v>1169</v>
      </c>
      <c r="J30" s="5">
        <v>39</v>
      </c>
      <c r="K30" s="5">
        <v>33</v>
      </c>
      <c r="L30" s="8">
        <f t="shared" si="6"/>
        <v>72</v>
      </c>
      <c r="M30" s="20">
        <f t="shared" si="7"/>
        <v>6.1591103507271171E-2</v>
      </c>
    </row>
    <row r="31" spans="1:13" x14ac:dyDescent="0.2">
      <c r="A31" s="6" t="s">
        <v>2</v>
      </c>
      <c r="B31" s="5">
        <v>1174</v>
      </c>
      <c r="C31" s="5">
        <v>77</v>
      </c>
      <c r="D31" s="5">
        <v>38</v>
      </c>
      <c r="E31" s="8">
        <f t="shared" si="4"/>
        <v>115</v>
      </c>
      <c r="F31" s="20">
        <f t="shared" si="5"/>
        <v>9.7955706984667809E-2</v>
      </c>
      <c r="H31" s="6" t="s">
        <v>2</v>
      </c>
      <c r="I31" s="5">
        <v>1190</v>
      </c>
      <c r="J31" s="5">
        <v>62</v>
      </c>
      <c r="K31" s="5">
        <v>42</v>
      </c>
      <c r="L31" s="8">
        <f t="shared" si="6"/>
        <v>104</v>
      </c>
      <c r="M31" s="20">
        <f t="shared" si="7"/>
        <v>8.7394957983193272E-2</v>
      </c>
    </row>
    <row r="32" spans="1:13" x14ac:dyDescent="0.2">
      <c r="A32" s="6" t="s">
        <v>1</v>
      </c>
      <c r="B32" s="5">
        <v>1134</v>
      </c>
      <c r="C32" s="5">
        <v>86</v>
      </c>
      <c r="D32" s="5">
        <v>34</v>
      </c>
      <c r="E32" s="8">
        <f t="shared" si="4"/>
        <v>120</v>
      </c>
      <c r="F32" s="20">
        <f t="shared" si="5"/>
        <v>0.10582010582010581</v>
      </c>
      <c r="H32" s="6" t="s">
        <v>1</v>
      </c>
      <c r="I32" s="5">
        <v>1202</v>
      </c>
      <c r="J32" s="5">
        <v>72</v>
      </c>
      <c r="K32" s="5">
        <v>39</v>
      </c>
      <c r="L32" s="8">
        <f t="shared" si="6"/>
        <v>111</v>
      </c>
      <c r="M32" s="20">
        <f t="shared" si="7"/>
        <v>9.2346089850249585E-2</v>
      </c>
    </row>
    <row r="33" spans="1:13" ht="13.5" thickBot="1" x14ac:dyDescent="0.25">
      <c r="A33" s="3" t="s">
        <v>0</v>
      </c>
      <c r="B33" s="2">
        <v>1155</v>
      </c>
      <c r="C33" s="2">
        <v>82</v>
      </c>
      <c r="D33" s="2">
        <v>37</v>
      </c>
      <c r="E33" s="18">
        <f t="shared" si="4"/>
        <v>119</v>
      </c>
      <c r="F33" s="21">
        <f t="shared" si="5"/>
        <v>0.10303030303030303</v>
      </c>
      <c r="H33" s="3" t="s">
        <v>0</v>
      </c>
      <c r="I33" s="2">
        <v>1195</v>
      </c>
      <c r="J33" s="2">
        <v>74</v>
      </c>
      <c r="K33" s="2">
        <v>35</v>
      </c>
      <c r="L33" s="18">
        <f t="shared" si="6"/>
        <v>109</v>
      </c>
      <c r="M33" s="21">
        <f t="shared" si="7"/>
        <v>9.1213389121338917E-2</v>
      </c>
    </row>
    <row r="35" spans="1:13" ht="13.5" thickBot="1" x14ac:dyDescent="0.25">
      <c r="A35" s="14" t="s">
        <v>19</v>
      </c>
      <c r="H35" s="14" t="s">
        <v>19</v>
      </c>
    </row>
    <row r="36" spans="1:13" s="10" customFormat="1" ht="39" thickBot="1" x14ac:dyDescent="0.25">
      <c r="A36" s="13" t="s">
        <v>17</v>
      </c>
      <c r="B36" s="12" t="s">
        <v>16</v>
      </c>
      <c r="C36" s="12" t="s">
        <v>15</v>
      </c>
      <c r="D36" s="12" t="s">
        <v>14</v>
      </c>
      <c r="E36" s="12" t="s">
        <v>13</v>
      </c>
      <c r="F36" s="11" t="s">
        <v>12</v>
      </c>
      <c r="H36" s="13" t="s">
        <v>17</v>
      </c>
      <c r="I36" s="12" t="s">
        <v>16</v>
      </c>
      <c r="J36" s="12" t="s">
        <v>15</v>
      </c>
      <c r="K36" s="12" t="s">
        <v>14</v>
      </c>
      <c r="L36" s="12" t="s">
        <v>13</v>
      </c>
      <c r="M36" s="11" t="s">
        <v>12</v>
      </c>
    </row>
    <row r="37" spans="1:13" x14ac:dyDescent="0.2">
      <c r="A37" s="9" t="s">
        <v>11</v>
      </c>
      <c r="B37" s="8">
        <v>747</v>
      </c>
      <c r="C37" s="8">
        <v>152</v>
      </c>
      <c r="D37" s="8">
        <v>79</v>
      </c>
      <c r="E37" s="8">
        <f>SUM(C37:D37)</f>
        <v>231</v>
      </c>
      <c r="F37" s="19">
        <f>E37/B37</f>
        <v>0.30923694779116467</v>
      </c>
      <c r="H37" s="9" t="s">
        <v>11</v>
      </c>
      <c r="I37" s="8">
        <v>740</v>
      </c>
      <c r="J37" s="8">
        <v>130</v>
      </c>
      <c r="K37" s="8">
        <v>62</v>
      </c>
      <c r="L37" s="8">
        <f>SUM(J37:K37)</f>
        <v>192</v>
      </c>
      <c r="M37" s="19">
        <f>L37/I37</f>
        <v>0.25945945945945947</v>
      </c>
    </row>
    <row r="38" spans="1:13" x14ac:dyDescent="0.2">
      <c r="A38" s="6" t="s">
        <v>10</v>
      </c>
      <c r="B38" s="5">
        <v>652</v>
      </c>
      <c r="C38" s="5">
        <v>134</v>
      </c>
      <c r="D38" s="5">
        <v>97</v>
      </c>
      <c r="E38" s="5">
        <f t="shared" ref="E38:E48" si="8">SUM(C38:D38)</f>
        <v>231</v>
      </c>
      <c r="F38" s="20">
        <f t="shared" ref="F38:F48" si="9">E38/B38</f>
        <v>0.35429447852760737</v>
      </c>
      <c r="H38" s="6" t="s">
        <v>10</v>
      </c>
      <c r="I38" s="5">
        <v>643</v>
      </c>
      <c r="J38" s="5">
        <v>124</v>
      </c>
      <c r="K38" s="5">
        <v>61</v>
      </c>
      <c r="L38" s="5">
        <f t="shared" ref="L38:L48" si="10">SUM(J38:K38)</f>
        <v>185</v>
      </c>
      <c r="M38" s="20">
        <f t="shared" ref="M38:M48" si="11">L38/I38</f>
        <v>0.28771384136858474</v>
      </c>
    </row>
    <row r="39" spans="1:13" x14ac:dyDescent="0.2">
      <c r="A39" s="6" t="s">
        <v>9</v>
      </c>
      <c r="B39" s="5">
        <v>717</v>
      </c>
      <c r="C39" s="5">
        <v>134</v>
      </c>
      <c r="D39" s="5">
        <v>93</v>
      </c>
      <c r="E39" s="5">
        <f t="shared" si="8"/>
        <v>227</v>
      </c>
      <c r="F39" s="20">
        <f t="shared" si="9"/>
        <v>0.31659693165969316</v>
      </c>
      <c r="H39" s="6" t="s">
        <v>9</v>
      </c>
      <c r="I39" s="5">
        <v>709</v>
      </c>
      <c r="J39" s="5">
        <v>125</v>
      </c>
      <c r="K39" s="5">
        <v>77</v>
      </c>
      <c r="L39" s="5">
        <f t="shared" si="10"/>
        <v>202</v>
      </c>
      <c r="M39" s="20">
        <f t="shared" si="11"/>
        <v>0.28490832157968971</v>
      </c>
    </row>
    <row r="40" spans="1:13" x14ac:dyDescent="0.2">
      <c r="A40" s="6" t="s">
        <v>8</v>
      </c>
      <c r="B40" s="5">
        <v>645</v>
      </c>
      <c r="C40" s="5">
        <v>179</v>
      </c>
      <c r="D40" s="5">
        <v>104</v>
      </c>
      <c r="E40" s="5">
        <f t="shared" si="8"/>
        <v>283</v>
      </c>
      <c r="F40" s="20">
        <f t="shared" si="9"/>
        <v>0.4387596899224806</v>
      </c>
      <c r="H40" s="6" t="s">
        <v>8</v>
      </c>
      <c r="I40" s="5">
        <v>654</v>
      </c>
      <c r="J40" s="5">
        <v>124</v>
      </c>
      <c r="K40" s="5">
        <v>53</v>
      </c>
      <c r="L40" s="5">
        <f t="shared" si="10"/>
        <v>177</v>
      </c>
      <c r="M40" s="20">
        <f t="shared" si="11"/>
        <v>0.27064220183486237</v>
      </c>
    </row>
    <row r="41" spans="1:13" x14ac:dyDescent="0.2">
      <c r="A41" s="6" t="s">
        <v>7</v>
      </c>
      <c r="B41" s="5">
        <v>695</v>
      </c>
      <c r="C41" s="5">
        <v>182</v>
      </c>
      <c r="D41" s="5">
        <v>126</v>
      </c>
      <c r="E41" s="5">
        <f t="shared" si="8"/>
        <v>308</v>
      </c>
      <c r="F41" s="20">
        <f t="shared" si="9"/>
        <v>0.44316546762589926</v>
      </c>
      <c r="H41" s="6" t="s">
        <v>7</v>
      </c>
      <c r="I41" s="5">
        <v>717</v>
      </c>
      <c r="J41" s="5">
        <v>138</v>
      </c>
      <c r="K41" s="5">
        <v>74</v>
      </c>
      <c r="L41" s="5">
        <f t="shared" si="10"/>
        <v>212</v>
      </c>
      <c r="M41" s="20">
        <f t="shared" si="11"/>
        <v>0.29567642956764295</v>
      </c>
    </row>
    <row r="42" spans="1:13" x14ac:dyDescent="0.2">
      <c r="A42" s="6" t="s">
        <v>6</v>
      </c>
      <c r="B42" s="5">
        <v>651</v>
      </c>
      <c r="C42" s="5">
        <v>202</v>
      </c>
      <c r="D42" s="5">
        <v>111</v>
      </c>
      <c r="E42" s="5">
        <f t="shared" si="8"/>
        <v>313</v>
      </c>
      <c r="F42" s="20">
        <f t="shared" si="9"/>
        <v>0.48079877112135178</v>
      </c>
      <c r="H42" s="6" t="s">
        <v>6</v>
      </c>
      <c r="I42" s="5">
        <v>662</v>
      </c>
      <c r="J42" s="5">
        <v>118</v>
      </c>
      <c r="K42" s="5">
        <v>58</v>
      </c>
      <c r="L42" s="5">
        <f t="shared" si="10"/>
        <v>176</v>
      </c>
      <c r="M42" s="20">
        <f t="shared" si="11"/>
        <v>0.26586102719033233</v>
      </c>
    </row>
    <row r="43" spans="1:13" x14ac:dyDescent="0.2">
      <c r="A43" s="6" t="s">
        <v>5</v>
      </c>
      <c r="B43" s="5">
        <v>741</v>
      </c>
      <c r="C43" s="5">
        <v>221</v>
      </c>
      <c r="D43" s="5">
        <v>148</v>
      </c>
      <c r="E43" s="5">
        <f t="shared" si="8"/>
        <v>369</v>
      </c>
      <c r="F43" s="20">
        <f t="shared" si="9"/>
        <v>0.49797570850202427</v>
      </c>
      <c r="H43" s="6" t="s">
        <v>5</v>
      </c>
      <c r="I43" s="5">
        <v>733</v>
      </c>
      <c r="J43" s="5">
        <v>141</v>
      </c>
      <c r="K43" s="5">
        <v>97</v>
      </c>
      <c r="L43" s="5">
        <f t="shared" si="10"/>
        <v>238</v>
      </c>
      <c r="M43" s="20">
        <f t="shared" si="11"/>
        <v>0.3246930422919509</v>
      </c>
    </row>
    <row r="44" spans="1:13" x14ac:dyDescent="0.2">
      <c r="A44" s="6" t="s">
        <v>4</v>
      </c>
      <c r="B44" s="5">
        <v>728</v>
      </c>
      <c r="C44" s="5">
        <v>218</v>
      </c>
      <c r="D44" s="5">
        <v>141</v>
      </c>
      <c r="E44" s="5">
        <f t="shared" si="8"/>
        <v>359</v>
      </c>
      <c r="F44" s="20">
        <f t="shared" si="9"/>
        <v>0.49313186813186816</v>
      </c>
      <c r="H44" s="6" t="s">
        <v>4</v>
      </c>
      <c r="I44" s="5">
        <v>724</v>
      </c>
      <c r="J44" s="5">
        <v>144</v>
      </c>
      <c r="K44" s="5">
        <v>70</v>
      </c>
      <c r="L44" s="5">
        <f t="shared" si="10"/>
        <v>214</v>
      </c>
      <c r="M44" s="20">
        <f t="shared" si="11"/>
        <v>0.29558011049723759</v>
      </c>
    </row>
    <row r="45" spans="1:13" x14ac:dyDescent="0.2">
      <c r="A45" s="6" t="s">
        <v>3</v>
      </c>
      <c r="B45" s="5">
        <v>685</v>
      </c>
      <c r="C45" s="5">
        <v>127</v>
      </c>
      <c r="D45" s="5">
        <v>100</v>
      </c>
      <c r="E45" s="5">
        <f t="shared" si="8"/>
        <v>227</v>
      </c>
      <c r="F45" s="20">
        <f t="shared" si="9"/>
        <v>0.33138686131386863</v>
      </c>
      <c r="H45" s="6" t="s">
        <v>3</v>
      </c>
      <c r="I45" s="5">
        <v>673</v>
      </c>
      <c r="J45" s="5">
        <v>107</v>
      </c>
      <c r="K45" s="5">
        <v>73</v>
      </c>
      <c r="L45" s="5">
        <f t="shared" si="10"/>
        <v>180</v>
      </c>
      <c r="M45" s="20">
        <f t="shared" si="11"/>
        <v>0.26745913818722139</v>
      </c>
    </row>
    <row r="46" spans="1:13" x14ac:dyDescent="0.2">
      <c r="A46" s="6" t="s">
        <v>2</v>
      </c>
      <c r="B46" s="5">
        <v>758</v>
      </c>
      <c r="C46" s="5">
        <v>123</v>
      </c>
      <c r="D46" s="5">
        <v>98</v>
      </c>
      <c r="E46" s="5">
        <f t="shared" si="8"/>
        <v>221</v>
      </c>
      <c r="F46" s="20">
        <f t="shared" si="9"/>
        <v>0.29155672823218998</v>
      </c>
      <c r="H46" s="6" t="s">
        <v>2</v>
      </c>
      <c r="I46" s="5">
        <v>741</v>
      </c>
      <c r="J46" s="5">
        <v>122</v>
      </c>
      <c r="K46" s="5">
        <v>63</v>
      </c>
      <c r="L46" s="5">
        <f t="shared" si="10"/>
        <v>185</v>
      </c>
      <c r="M46" s="20">
        <f t="shared" si="11"/>
        <v>0.24966261808367071</v>
      </c>
    </row>
    <row r="47" spans="1:13" x14ac:dyDescent="0.2">
      <c r="A47" s="6" t="s">
        <v>1</v>
      </c>
      <c r="B47" s="5">
        <v>675</v>
      </c>
      <c r="C47" s="5">
        <v>122</v>
      </c>
      <c r="D47" s="5">
        <v>95</v>
      </c>
      <c r="E47" s="5">
        <f t="shared" si="8"/>
        <v>217</v>
      </c>
      <c r="F47" s="20">
        <f t="shared" si="9"/>
        <v>0.32148148148148148</v>
      </c>
      <c r="H47" s="6" t="s">
        <v>1</v>
      </c>
      <c r="I47" s="5">
        <v>686</v>
      </c>
      <c r="J47" s="5">
        <v>101</v>
      </c>
      <c r="K47" s="5">
        <v>53</v>
      </c>
      <c r="L47" s="5">
        <f t="shared" si="10"/>
        <v>154</v>
      </c>
      <c r="M47" s="20">
        <f t="shared" si="11"/>
        <v>0.22448979591836735</v>
      </c>
    </row>
    <row r="48" spans="1:13" ht="13.5" thickBot="1" x14ac:dyDescent="0.25">
      <c r="A48" s="3" t="s">
        <v>0</v>
      </c>
      <c r="B48" s="2">
        <v>723</v>
      </c>
      <c r="C48" s="2">
        <v>154</v>
      </c>
      <c r="D48" s="2">
        <v>83</v>
      </c>
      <c r="E48" s="2">
        <f t="shared" si="8"/>
        <v>237</v>
      </c>
      <c r="F48" s="21">
        <f t="shared" si="9"/>
        <v>0.32780082987551867</v>
      </c>
      <c r="H48" s="3" t="s">
        <v>0</v>
      </c>
      <c r="I48" s="2">
        <v>737</v>
      </c>
      <c r="J48" s="2">
        <v>120</v>
      </c>
      <c r="K48" s="2">
        <v>76</v>
      </c>
      <c r="L48" s="2">
        <f t="shared" si="10"/>
        <v>196</v>
      </c>
      <c r="M48" s="21">
        <f t="shared" si="11"/>
        <v>0.26594301221166894</v>
      </c>
    </row>
    <row r="50" spans="1:13" ht="13.5" thickBot="1" x14ac:dyDescent="0.25">
      <c r="A50" s="14" t="s">
        <v>18</v>
      </c>
      <c r="H50" s="14" t="s">
        <v>18</v>
      </c>
    </row>
    <row r="51" spans="1:13" s="10" customFormat="1" ht="39" thickBot="1" x14ac:dyDescent="0.25">
      <c r="A51" s="13" t="s">
        <v>17</v>
      </c>
      <c r="B51" s="12" t="s">
        <v>16</v>
      </c>
      <c r="C51" s="12" t="s">
        <v>15</v>
      </c>
      <c r="D51" s="12" t="s">
        <v>14</v>
      </c>
      <c r="E51" s="12" t="s">
        <v>13</v>
      </c>
      <c r="F51" s="11" t="s">
        <v>12</v>
      </c>
      <c r="H51" s="13" t="s">
        <v>17</v>
      </c>
      <c r="I51" s="12" t="s">
        <v>16</v>
      </c>
      <c r="J51" s="12" t="s">
        <v>15</v>
      </c>
      <c r="K51" s="12" t="s">
        <v>14</v>
      </c>
      <c r="L51" s="12" t="s">
        <v>13</v>
      </c>
      <c r="M51" s="11" t="s">
        <v>12</v>
      </c>
    </row>
    <row r="52" spans="1:13" x14ac:dyDescent="0.2">
      <c r="A52" s="9" t="s">
        <v>11</v>
      </c>
      <c r="B52" s="8">
        <v>675</v>
      </c>
      <c r="C52" s="8">
        <v>88</v>
      </c>
      <c r="D52" s="8">
        <v>51</v>
      </c>
      <c r="E52" s="8">
        <f>SUM(C52:D52)</f>
        <v>139</v>
      </c>
      <c r="F52" s="19">
        <f>E52/B52</f>
        <v>0.20592592592592593</v>
      </c>
      <c r="H52" s="9" t="s">
        <v>11</v>
      </c>
      <c r="I52" s="8">
        <v>669</v>
      </c>
      <c r="J52" s="8">
        <v>95</v>
      </c>
      <c r="K52" s="8">
        <v>33</v>
      </c>
      <c r="L52" s="8">
        <f>SUM(J52:K52)</f>
        <v>128</v>
      </c>
      <c r="M52" s="19">
        <f>L52/I52</f>
        <v>0.19133034379671152</v>
      </c>
    </row>
    <row r="53" spans="1:13" x14ac:dyDescent="0.2">
      <c r="A53" s="6" t="s">
        <v>10</v>
      </c>
      <c r="B53" s="5">
        <v>639</v>
      </c>
      <c r="C53" s="5">
        <v>73</v>
      </c>
      <c r="D53" s="5">
        <v>32</v>
      </c>
      <c r="E53" s="5">
        <f t="shared" ref="E53:E63" si="12">SUM(C53:D53)</f>
        <v>105</v>
      </c>
      <c r="F53" s="20">
        <f t="shared" ref="F53:F63" si="13">E53/B53</f>
        <v>0.16431924882629109</v>
      </c>
      <c r="H53" s="6" t="s">
        <v>10</v>
      </c>
      <c r="I53" s="5">
        <v>595</v>
      </c>
      <c r="J53" s="5">
        <v>87</v>
      </c>
      <c r="K53" s="5">
        <v>41</v>
      </c>
      <c r="L53" s="5">
        <f t="shared" ref="L53:L63" si="14">SUM(J53:K53)</f>
        <v>128</v>
      </c>
      <c r="M53" s="20">
        <f t="shared" ref="M53:M63" si="15">L53/I53</f>
        <v>0.21512605042016808</v>
      </c>
    </row>
    <row r="54" spans="1:13" x14ac:dyDescent="0.2">
      <c r="A54" s="6" t="s">
        <v>9</v>
      </c>
      <c r="B54" s="5">
        <v>673</v>
      </c>
      <c r="C54" s="5">
        <v>101</v>
      </c>
      <c r="D54" s="5">
        <v>40</v>
      </c>
      <c r="E54" s="5">
        <f t="shared" si="12"/>
        <v>141</v>
      </c>
      <c r="F54" s="20">
        <f t="shared" si="13"/>
        <v>0.20950965824665677</v>
      </c>
      <c r="H54" s="6" t="s">
        <v>9</v>
      </c>
      <c r="I54" s="5">
        <v>668</v>
      </c>
      <c r="J54" s="5">
        <v>88</v>
      </c>
      <c r="K54" s="5">
        <v>33</v>
      </c>
      <c r="L54" s="5">
        <f t="shared" si="14"/>
        <v>121</v>
      </c>
      <c r="M54" s="20">
        <f t="shared" si="15"/>
        <v>0.18113772455089822</v>
      </c>
    </row>
    <row r="55" spans="1:13" x14ac:dyDescent="0.2">
      <c r="A55" s="6" t="s">
        <v>8</v>
      </c>
      <c r="B55" s="5">
        <v>646</v>
      </c>
      <c r="C55" s="5">
        <v>115</v>
      </c>
      <c r="D55" s="5">
        <v>43</v>
      </c>
      <c r="E55" s="5">
        <f t="shared" si="12"/>
        <v>158</v>
      </c>
      <c r="F55" s="20">
        <f t="shared" si="13"/>
        <v>0.24458204334365324</v>
      </c>
      <c r="H55" s="6" t="s">
        <v>8</v>
      </c>
      <c r="I55" s="5">
        <v>642</v>
      </c>
      <c r="J55" s="5">
        <v>71</v>
      </c>
      <c r="K55" s="5">
        <v>39</v>
      </c>
      <c r="L55" s="5">
        <f t="shared" si="14"/>
        <v>110</v>
      </c>
      <c r="M55" s="20">
        <f t="shared" si="15"/>
        <v>0.17133956386292834</v>
      </c>
    </row>
    <row r="56" spans="1:13" x14ac:dyDescent="0.2">
      <c r="A56" s="6" t="s">
        <v>7</v>
      </c>
      <c r="B56" s="5">
        <v>698</v>
      </c>
      <c r="C56" s="5">
        <v>115</v>
      </c>
      <c r="D56" s="5">
        <v>49</v>
      </c>
      <c r="E56" s="5">
        <f t="shared" si="12"/>
        <v>164</v>
      </c>
      <c r="F56" s="20">
        <f t="shared" si="13"/>
        <v>0.23495702005730659</v>
      </c>
      <c r="H56" s="6" t="s">
        <v>7</v>
      </c>
      <c r="I56" s="5">
        <v>712</v>
      </c>
      <c r="J56" s="5">
        <v>81</v>
      </c>
      <c r="K56" s="5">
        <v>42</v>
      </c>
      <c r="L56" s="5">
        <f t="shared" si="14"/>
        <v>123</v>
      </c>
      <c r="M56" s="20">
        <f t="shared" si="15"/>
        <v>0.17275280898876405</v>
      </c>
    </row>
    <row r="57" spans="1:13" x14ac:dyDescent="0.2">
      <c r="A57" s="6" t="s">
        <v>6</v>
      </c>
      <c r="B57" s="5">
        <v>686</v>
      </c>
      <c r="C57" s="5">
        <v>123</v>
      </c>
      <c r="D57" s="5">
        <v>37</v>
      </c>
      <c r="E57" s="5">
        <f t="shared" si="12"/>
        <v>160</v>
      </c>
      <c r="F57" s="20">
        <f t="shared" si="13"/>
        <v>0.23323615160349853</v>
      </c>
      <c r="H57" s="6" t="s">
        <v>6</v>
      </c>
      <c r="I57" s="5">
        <v>693</v>
      </c>
      <c r="J57" s="5">
        <v>97</v>
      </c>
      <c r="K57" s="5">
        <v>39</v>
      </c>
      <c r="L57" s="5">
        <f t="shared" si="14"/>
        <v>136</v>
      </c>
      <c r="M57" s="20">
        <f t="shared" si="15"/>
        <v>0.19624819624819625</v>
      </c>
    </row>
    <row r="58" spans="1:13" x14ac:dyDescent="0.2">
      <c r="A58" s="6" t="s">
        <v>5</v>
      </c>
      <c r="B58" s="5">
        <v>727</v>
      </c>
      <c r="C58" s="5">
        <v>142</v>
      </c>
      <c r="D58" s="5">
        <v>41</v>
      </c>
      <c r="E58" s="5">
        <f t="shared" si="12"/>
        <v>183</v>
      </c>
      <c r="F58" s="20">
        <f t="shared" si="13"/>
        <v>0.2517193947730399</v>
      </c>
      <c r="H58" s="6" t="s">
        <v>5</v>
      </c>
      <c r="I58" s="5">
        <v>692</v>
      </c>
      <c r="J58" s="5">
        <v>83</v>
      </c>
      <c r="K58" s="5">
        <v>33</v>
      </c>
      <c r="L58" s="5">
        <f t="shared" si="14"/>
        <v>116</v>
      </c>
      <c r="M58" s="20">
        <f t="shared" si="15"/>
        <v>0.16763005780346821</v>
      </c>
    </row>
    <row r="59" spans="1:13" x14ac:dyDescent="0.2">
      <c r="A59" s="6" t="s">
        <v>4</v>
      </c>
      <c r="B59" s="5">
        <v>693</v>
      </c>
      <c r="C59" s="5">
        <v>160</v>
      </c>
      <c r="D59" s="5">
        <v>55</v>
      </c>
      <c r="E59" s="5">
        <f t="shared" si="12"/>
        <v>215</v>
      </c>
      <c r="F59" s="20">
        <f t="shared" si="13"/>
        <v>0.31024531024531027</v>
      </c>
      <c r="H59" s="6" t="s">
        <v>4</v>
      </c>
      <c r="I59" s="5">
        <v>648</v>
      </c>
      <c r="J59" s="5">
        <v>93</v>
      </c>
      <c r="K59" s="5">
        <v>37</v>
      </c>
      <c r="L59" s="5">
        <f t="shared" si="14"/>
        <v>130</v>
      </c>
      <c r="M59" s="20">
        <f t="shared" si="15"/>
        <v>0.20061728395061729</v>
      </c>
    </row>
    <row r="60" spans="1:13" x14ac:dyDescent="0.2">
      <c r="A60" s="6" t="s">
        <v>3</v>
      </c>
      <c r="B60" s="5">
        <v>718</v>
      </c>
      <c r="C60" s="5">
        <v>53</v>
      </c>
      <c r="D60" s="5">
        <v>30</v>
      </c>
      <c r="E60" s="5">
        <f t="shared" si="12"/>
        <v>83</v>
      </c>
      <c r="F60" s="20">
        <f t="shared" si="13"/>
        <v>0.11559888579387187</v>
      </c>
      <c r="H60" s="6" t="s">
        <v>3</v>
      </c>
      <c r="I60" s="5">
        <v>717</v>
      </c>
      <c r="J60" s="5">
        <v>62</v>
      </c>
      <c r="K60" s="5">
        <v>31</v>
      </c>
      <c r="L60" s="5">
        <f t="shared" si="14"/>
        <v>93</v>
      </c>
      <c r="M60" s="20">
        <f t="shared" si="15"/>
        <v>0.1297071129707113</v>
      </c>
    </row>
    <row r="61" spans="1:13" x14ac:dyDescent="0.2">
      <c r="A61" s="6" t="s">
        <v>2</v>
      </c>
      <c r="B61" s="5">
        <v>660</v>
      </c>
      <c r="C61" s="5">
        <v>77</v>
      </c>
      <c r="D61" s="5">
        <v>38</v>
      </c>
      <c r="E61" s="5">
        <f t="shared" si="12"/>
        <v>115</v>
      </c>
      <c r="F61" s="20">
        <f t="shared" si="13"/>
        <v>0.17424242424242425</v>
      </c>
      <c r="H61" s="6" t="s">
        <v>2</v>
      </c>
      <c r="I61" s="5">
        <v>669</v>
      </c>
      <c r="J61" s="5">
        <v>58</v>
      </c>
      <c r="K61" s="5">
        <v>35</v>
      </c>
      <c r="L61" s="5">
        <f t="shared" si="14"/>
        <v>93</v>
      </c>
      <c r="M61" s="20">
        <f t="shared" si="15"/>
        <v>0.13901345291479822</v>
      </c>
    </row>
    <row r="62" spans="1:13" x14ac:dyDescent="0.2">
      <c r="A62" s="6" t="s">
        <v>1</v>
      </c>
      <c r="B62" s="5">
        <v>641</v>
      </c>
      <c r="C62" s="5">
        <v>86</v>
      </c>
      <c r="D62" s="5">
        <v>34</v>
      </c>
      <c r="E62" s="5">
        <f t="shared" si="12"/>
        <v>120</v>
      </c>
      <c r="F62" s="20">
        <f t="shared" si="13"/>
        <v>0.18720748829953199</v>
      </c>
      <c r="H62" s="6" t="s">
        <v>1</v>
      </c>
      <c r="I62" s="5">
        <v>633</v>
      </c>
      <c r="J62" s="5">
        <v>84</v>
      </c>
      <c r="K62" s="5">
        <v>32</v>
      </c>
      <c r="L62" s="5">
        <f t="shared" si="14"/>
        <v>116</v>
      </c>
      <c r="M62" s="20">
        <f t="shared" si="15"/>
        <v>0.18325434439178515</v>
      </c>
    </row>
    <row r="63" spans="1:13" ht="13.5" thickBot="1" x14ac:dyDescent="0.25">
      <c r="A63" s="3" t="s">
        <v>0</v>
      </c>
      <c r="B63" s="2">
        <v>755</v>
      </c>
      <c r="C63" s="2">
        <v>82</v>
      </c>
      <c r="D63" s="2">
        <v>37</v>
      </c>
      <c r="E63" s="2">
        <f t="shared" si="12"/>
        <v>119</v>
      </c>
      <c r="F63" s="21">
        <f t="shared" si="13"/>
        <v>0.15761589403973511</v>
      </c>
      <c r="H63" s="3" t="s">
        <v>0</v>
      </c>
      <c r="I63" s="2">
        <v>726</v>
      </c>
      <c r="J63" s="2">
        <v>62</v>
      </c>
      <c r="K63" s="2">
        <v>36</v>
      </c>
      <c r="L63" s="2">
        <f t="shared" si="14"/>
        <v>98</v>
      </c>
      <c r="M63" s="21">
        <f t="shared" si="15"/>
        <v>0.13498622589531681</v>
      </c>
    </row>
  </sheetData>
  <pageMargins left="0.7" right="0.7" top="0.75" bottom="0.75" header="0.3" footer="0.3"/>
  <ignoredErrors>
    <ignoredError sqref="L7:L18 E7:E18 E22:E33 L22:L33 E37:E48 E52:E63 L52:L63 L37:L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90" zoomScaleNormal="90" workbookViewId="0">
      <selection activeCell="L39" sqref="L39"/>
    </sheetView>
  </sheetViews>
  <sheetFormatPr defaultRowHeight="12.75" x14ac:dyDescent="0.2"/>
  <cols>
    <col min="1" max="1" width="18.140625" customWidth="1"/>
    <col min="2" max="4" width="13.140625" customWidth="1"/>
    <col min="6" max="6" width="16.85546875" customWidth="1"/>
    <col min="7" max="9" width="13.7109375" customWidth="1"/>
  </cols>
  <sheetData>
    <row r="1" spans="1:9" x14ac:dyDescent="0.2">
      <c r="A1" s="14" t="s">
        <v>25</v>
      </c>
    </row>
    <row r="3" spans="1:9" x14ac:dyDescent="0.2">
      <c r="A3" s="14" t="s">
        <v>28</v>
      </c>
    </row>
    <row r="4" spans="1:9" x14ac:dyDescent="0.2">
      <c r="C4" s="15" t="s">
        <v>23</v>
      </c>
      <c r="H4" s="15" t="s">
        <v>22</v>
      </c>
    </row>
    <row r="5" spans="1:9" ht="13.5" thickBot="1" x14ac:dyDescent="0.25">
      <c r="A5" s="14" t="s">
        <v>21</v>
      </c>
      <c r="F5" s="14" t="s">
        <v>21</v>
      </c>
    </row>
    <row r="6" spans="1:9" s="10" customFormat="1" ht="13.5" thickBot="1" x14ac:dyDescent="0.25">
      <c r="A6" s="13" t="s">
        <v>17</v>
      </c>
      <c r="B6" s="12" t="s">
        <v>16</v>
      </c>
      <c r="C6" s="16" t="s">
        <v>26</v>
      </c>
      <c r="D6" s="17" t="s">
        <v>27</v>
      </c>
      <c r="F6" s="13" t="s">
        <v>17</v>
      </c>
      <c r="G6" s="12" t="s">
        <v>16</v>
      </c>
      <c r="H6" s="16" t="s">
        <v>26</v>
      </c>
      <c r="I6" s="17" t="s">
        <v>27</v>
      </c>
    </row>
    <row r="7" spans="1:9" x14ac:dyDescent="0.2">
      <c r="A7" s="9" t="s">
        <v>11</v>
      </c>
      <c r="B7" s="8">
        <v>1165</v>
      </c>
      <c r="C7" s="8">
        <v>25</v>
      </c>
      <c r="D7" s="55">
        <f>C7/B7</f>
        <v>2.1459227467811159E-2</v>
      </c>
      <c r="F7" s="9" t="s">
        <v>11</v>
      </c>
      <c r="G7" s="8">
        <v>1209</v>
      </c>
      <c r="H7" s="8">
        <v>18</v>
      </c>
      <c r="I7" s="55">
        <f>H7/G7</f>
        <v>1.488833746898263E-2</v>
      </c>
    </row>
    <row r="8" spans="1:9" x14ac:dyDescent="0.2">
      <c r="A8" s="6" t="s">
        <v>10</v>
      </c>
      <c r="B8" s="5">
        <v>1093</v>
      </c>
      <c r="C8" s="5">
        <v>21</v>
      </c>
      <c r="D8" s="56">
        <f t="shared" ref="D8:D18" si="0">C8/B8</f>
        <v>1.9213174748398901E-2</v>
      </c>
      <c r="F8" s="6" t="s">
        <v>10</v>
      </c>
      <c r="G8" s="5">
        <v>1108</v>
      </c>
      <c r="H8" s="5">
        <v>16</v>
      </c>
      <c r="I8" s="56">
        <f t="shared" ref="I8:I18" si="1">H8/G8</f>
        <v>1.444043321299639E-2</v>
      </c>
    </row>
    <row r="9" spans="1:9" x14ac:dyDescent="0.2">
      <c r="A9" s="6" t="s">
        <v>9</v>
      </c>
      <c r="B9" s="5">
        <v>1190</v>
      </c>
      <c r="C9" s="5">
        <v>14</v>
      </c>
      <c r="D9" s="56">
        <f t="shared" si="0"/>
        <v>1.1764705882352941E-2</v>
      </c>
      <c r="F9" s="6" t="s">
        <v>9</v>
      </c>
      <c r="G9" s="5">
        <v>1242</v>
      </c>
      <c r="H9" s="5">
        <v>16</v>
      </c>
      <c r="I9" s="56">
        <f t="shared" si="1"/>
        <v>1.2882447665056361E-2</v>
      </c>
    </row>
    <row r="10" spans="1:9" x14ac:dyDescent="0.2">
      <c r="A10" s="6" t="s">
        <v>8</v>
      </c>
      <c r="B10" s="5">
        <v>1177</v>
      </c>
      <c r="C10" s="5">
        <v>14</v>
      </c>
      <c r="D10" s="56">
        <f t="shared" si="0"/>
        <v>1.18946474086661E-2</v>
      </c>
      <c r="F10" s="6" t="s">
        <v>8</v>
      </c>
      <c r="G10" s="5">
        <v>1219</v>
      </c>
      <c r="H10" s="5">
        <v>10</v>
      </c>
      <c r="I10" s="56">
        <f t="shared" si="1"/>
        <v>8.2034454470877767E-3</v>
      </c>
    </row>
    <row r="11" spans="1:9" x14ac:dyDescent="0.2">
      <c r="A11" s="6" t="s">
        <v>7</v>
      </c>
      <c r="B11" s="5">
        <v>1239</v>
      </c>
      <c r="C11" s="5">
        <v>18</v>
      </c>
      <c r="D11" s="56">
        <f t="shared" si="0"/>
        <v>1.4527845036319613E-2</v>
      </c>
      <c r="F11" s="6" t="s">
        <v>7</v>
      </c>
      <c r="G11" s="5">
        <v>1251</v>
      </c>
      <c r="H11" s="5">
        <v>24</v>
      </c>
      <c r="I11" s="56">
        <f t="shared" si="1"/>
        <v>1.9184652278177457E-2</v>
      </c>
    </row>
    <row r="12" spans="1:9" x14ac:dyDescent="0.2">
      <c r="A12" s="6" t="s">
        <v>6</v>
      </c>
      <c r="B12" s="5">
        <v>1214</v>
      </c>
      <c r="C12" s="5">
        <v>21</v>
      </c>
      <c r="D12" s="56">
        <f t="shared" si="0"/>
        <v>1.729818780889621E-2</v>
      </c>
      <c r="F12" s="6" t="s">
        <v>6</v>
      </c>
      <c r="G12" s="5">
        <v>1244</v>
      </c>
      <c r="H12" s="5">
        <v>17</v>
      </c>
      <c r="I12" s="56">
        <f t="shared" si="1"/>
        <v>1.3665594855305467E-2</v>
      </c>
    </row>
    <row r="13" spans="1:9" x14ac:dyDescent="0.2">
      <c r="A13" s="6" t="s">
        <v>5</v>
      </c>
      <c r="B13" s="5">
        <v>1229</v>
      </c>
      <c r="C13" s="5">
        <v>19</v>
      </c>
      <c r="D13" s="56">
        <f t="shared" si="0"/>
        <v>1.5459723352318959E-2</v>
      </c>
      <c r="F13" s="6" t="s">
        <v>5</v>
      </c>
      <c r="G13" s="5">
        <v>1261</v>
      </c>
      <c r="H13" s="5">
        <v>17</v>
      </c>
      <c r="I13" s="56">
        <f t="shared" si="1"/>
        <v>1.3481363996827915E-2</v>
      </c>
    </row>
    <row r="14" spans="1:9" x14ac:dyDescent="0.2">
      <c r="A14" s="6" t="s">
        <v>4</v>
      </c>
      <c r="B14" s="5">
        <v>1236</v>
      </c>
      <c r="C14" s="5">
        <v>27</v>
      </c>
      <c r="D14" s="56">
        <f t="shared" si="0"/>
        <v>2.1844660194174758E-2</v>
      </c>
      <c r="F14" s="6" t="s">
        <v>4</v>
      </c>
      <c r="G14" s="5">
        <v>1267</v>
      </c>
      <c r="H14" s="5">
        <v>21</v>
      </c>
      <c r="I14" s="56">
        <f t="shared" si="1"/>
        <v>1.6574585635359115E-2</v>
      </c>
    </row>
    <row r="15" spans="1:9" x14ac:dyDescent="0.2">
      <c r="A15" s="6" t="s">
        <v>3</v>
      </c>
      <c r="B15" s="5">
        <v>1236</v>
      </c>
      <c r="C15" s="5">
        <v>16</v>
      </c>
      <c r="D15" s="56">
        <f t="shared" si="0"/>
        <v>1.2944983818770227E-2</v>
      </c>
      <c r="F15" s="6" t="s">
        <v>3</v>
      </c>
      <c r="G15" s="5">
        <v>1257</v>
      </c>
      <c r="H15" s="5">
        <v>16</v>
      </c>
      <c r="I15" s="56">
        <f t="shared" si="1"/>
        <v>1.2728719172633254E-2</v>
      </c>
    </row>
    <row r="16" spans="1:9" x14ac:dyDescent="0.2">
      <c r="A16" s="6" t="s">
        <v>2</v>
      </c>
      <c r="B16" s="5">
        <v>1248</v>
      </c>
      <c r="C16" s="5">
        <v>23</v>
      </c>
      <c r="D16" s="56">
        <f t="shared" si="0"/>
        <v>1.842948717948718E-2</v>
      </c>
      <c r="F16" s="6" t="s">
        <v>2</v>
      </c>
      <c r="G16" s="5">
        <v>1231</v>
      </c>
      <c r="H16" s="5">
        <v>20</v>
      </c>
      <c r="I16" s="56">
        <f t="shared" si="1"/>
        <v>1.6246953696181964E-2</v>
      </c>
    </row>
    <row r="17" spans="1:11" x14ac:dyDescent="0.2">
      <c r="A17" s="6" t="s">
        <v>1</v>
      </c>
      <c r="B17" s="5">
        <v>1179</v>
      </c>
      <c r="C17" s="5">
        <v>20</v>
      </c>
      <c r="D17" s="56">
        <f t="shared" si="0"/>
        <v>1.6963528413910092E-2</v>
      </c>
      <c r="F17" s="6" t="s">
        <v>1</v>
      </c>
      <c r="G17" s="5">
        <v>1233</v>
      </c>
      <c r="H17" s="5">
        <v>21</v>
      </c>
      <c r="I17" s="56">
        <f t="shared" si="1"/>
        <v>1.7031630170316302E-2</v>
      </c>
    </row>
    <row r="18" spans="1:11" ht="13.5" thickBot="1" x14ac:dyDescent="0.25">
      <c r="A18" s="3" t="s">
        <v>0</v>
      </c>
      <c r="B18" s="2">
        <v>1251</v>
      </c>
      <c r="C18" s="2">
        <v>20</v>
      </c>
      <c r="D18" s="57">
        <f t="shared" si="0"/>
        <v>1.5987210231814548E-2</v>
      </c>
      <c r="F18" s="3" t="s">
        <v>0</v>
      </c>
      <c r="G18" s="2">
        <v>1311</v>
      </c>
      <c r="H18" s="2">
        <v>16</v>
      </c>
      <c r="I18" s="57">
        <f t="shared" si="1"/>
        <v>1.2204424103737605E-2</v>
      </c>
    </row>
    <row r="20" spans="1:11" ht="13.5" thickBot="1" x14ac:dyDescent="0.25">
      <c r="A20" s="14" t="s">
        <v>20</v>
      </c>
      <c r="F20" s="14" t="s">
        <v>20</v>
      </c>
    </row>
    <row r="21" spans="1:11" s="10" customFormat="1" ht="13.5" thickBot="1" x14ac:dyDescent="0.25">
      <c r="A21" s="13" t="s">
        <v>17</v>
      </c>
      <c r="B21" s="12" t="s">
        <v>16</v>
      </c>
      <c r="C21" s="16" t="s">
        <v>26</v>
      </c>
      <c r="D21" s="17" t="s">
        <v>27</v>
      </c>
      <c r="F21" s="13" t="s">
        <v>17</v>
      </c>
      <c r="G21" s="12" t="s">
        <v>16</v>
      </c>
      <c r="H21" s="16" t="s">
        <v>26</v>
      </c>
      <c r="I21" s="17" t="s">
        <v>27</v>
      </c>
    </row>
    <row r="22" spans="1:11" x14ac:dyDescent="0.2">
      <c r="A22" s="9" t="s">
        <v>11</v>
      </c>
      <c r="B22" s="8">
        <v>1134</v>
      </c>
      <c r="C22" s="8">
        <v>7</v>
      </c>
      <c r="D22" s="55">
        <f>C22/B22</f>
        <v>6.1728395061728392E-3</v>
      </c>
      <c r="F22" s="9" t="s">
        <v>11</v>
      </c>
      <c r="G22" s="8">
        <v>1163</v>
      </c>
      <c r="H22" s="8">
        <v>5</v>
      </c>
      <c r="I22" s="55">
        <f>H22/G22</f>
        <v>4.2992261392949269E-3</v>
      </c>
      <c r="K22" s="10"/>
    </row>
    <row r="23" spans="1:11" x14ac:dyDescent="0.2">
      <c r="A23" s="6" t="s">
        <v>10</v>
      </c>
      <c r="B23" s="5">
        <v>951</v>
      </c>
      <c r="C23" s="5">
        <v>5</v>
      </c>
      <c r="D23" s="56">
        <f t="shared" ref="D23:D33" si="2">C23/B23</f>
        <v>5.2576235541535229E-3</v>
      </c>
      <c r="F23" s="6" t="s">
        <v>10</v>
      </c>
      <c r="G23" s="5">
        <v>1019</v>
      </c>
      <c r="H23" s="5">
        <v>5</v>
      </c>
      <c r="I23" s="56">
        <f t="shared" ref="I23:I33" si="3">H23/G23</f>
        <v>4.9067713444553487E-3</v>
      </c>
      <c r="K23" s="10"/>
    </row>
    <row r="24" spans="1:11" x14ac:dyDescent="0.2">
      <c r="A24" s="6" t="s">
        <v>9</v>
      </c>
      <c r="B24" s="5">
        <v>1111</v>
      </c>
      <c r="C24" s="5">
        <v>4</v>
      </c>
      <c r="D24" s="56">
        <f t="shared" si="2"/>
        <v>3.6003600360036002E-3</v>
      </c>
      <c r="F24" s="6" t="s">
        <v>9</v>
      </c>
      <c r="G24" s="5">
        <v>1143</v>
      </c>
      <c r="H24" s="5">
        <v>4</v>
      </c>
      <c r="I24" s="56">
        <f t="shared" si="3"/>
        <v>3.499562554680665E-3</v>
      </c>
      <c r="K24" s="10"/>
    </row>
    <row r="25" spans="1:11" x14ac:dyDescent="0.2">
      <c r="A25" s="6" t="s">
        <v>8</v>
      </c>
      <c r="B25" s="5">
        <v>1079</v>
      </c>
      <c r="C25" s="5">
        <v>8</v>
      </c>
      <c r="D25" s="56">
        <f t="shared" si="2"/>
        <v>7.4142724745134385E-3</v>
      </c>
      <c r="F25" s="6" t="s">
        <v>8</v>
      </c>
      <c r="G25" s="5">
        <v>1134</v>
      </c>
      <c r="H25" s="5">
        <v>8</v>
      </c>
      <c r="I25" s="56">
        <f t="shared" si="3"/>
        <v>7.0546737213403876E-3</v>
      </c>
      <c r="K25" s="10"/>
    </row>
    <row r="26" spans="1:11" x14ac:dyDescent="0.2">
      <c r="A26" s="6" t="s">
        <v>7</v>
      </c>
      <c r="B26" s="5">
        <v>1154</v>
      </c>
      <c r="C26" s="5">
        <v>7</v>
      </c>
      <c r="D26" s="56">
        <f t="shared" si="2"/>
        <v>6.0658578856152513E-3</v>
      </c>
      <c r="F26" s="6" t="s">
        <v>7</v>
      </c>
      <c r="G26" s="5">
        <v>1172</v>
      </c>
      <c r="H26" s="5">
        <v>7</v>
      </c>
      <c r="I26" s="56">
        <f t="shared" si="3"/>
        <v>5.9726962457337888E-3</v>
      </c>
      <c r="K26" s="10"/>
    </row>
    <row r="27" spans="1:11" x14ac:dyDescent="0.2">
      <c r="A27" s="6" t="s">
        <v>6</v>
      </c>
      <c r="B27" s="5">
        <v>1103</v>
      </c>
      <c r="C27" s="5">
        <v>9</v>
      </c>
      <c r="D27" s="56">
        <f t="shared" si="2"/>
        <v>8.1595648232094288E-3</v>
      </c>
      <c r="F27" s="6" t="s">
        <v>6</v>
      </c>
      <c r="G27" s="5">
        <v>1125</v>
      </c>
      <c r="H27" s="5">
        <v>7</v>
      </c>
      <c r="I27" s="56">
        <f t="shared" si="3"/>
        <v>6.2222222222222219E-3</v>
      </c>
      <c r="K27" s="10"/>
    </row>
    <row r="28" spans="1:11" x14ac:dyDescent="0.2">
      <c r="A28" s="6" t="s">
        <v>5</v>
      </c>
      <c r="B28" s="5">
        <v>1175</v>
      </c>
      <c r="C28" s="5">
        <v>5</v>
      </c>
      <c r="D28" s="56">
        <f t="shared" si="2"/>
        <v>4.2553191489361703E-3</v>
      </c>
      <c r="F28" s="6" t="s">
        <v>5</v>
      </c>
      <c r="G28" s="5">
        <v>1218</v>
      </c>
      <c r="H28" s="5">
        <v>7</v>
      </c>
      <c r="I28" s="56">
        <f t="shared" si="3"/>
        <v>5.7471264367816091E-3</v>
      </c>
      <c r="K28" s="10"/>
    </row>
    <row r="29" spans="1:11" x14ac:dyDescent="0.2">
      <c r="A29" s="6" t="s">
        <v>4</v>
      </c>
      <c r="B29" s="5">
        <v>1206</v>
      </c>
      <c r="C29" s="5">
        <v>10</v>
      </c>
      <c r="D29" s="56">
        <f t="shared" si="2"/>
        <v>8.291873963515755E-3</v>
      </c>
      <c r="F29" s="6" t="s">
        <v>4</v>
      </c>
      <c r="G29" s="5">
        <v>1241</v>
      </c>
      <c r="H29" s="5">
        <v>11</v>
      </c>
      <c r="I29" s="56">
        <f t="shared" si="3"/>
        <v>8.8638195004029016E-3</v>
      </c>
      <c r="K29" s="10"/>
    </row>
    <row r="30" spans="1:11" x14ac:dyDescent="0.2">
      <c r="A30" s="6" t="s">
        <v>3</v>
      </c>
      <c r="B30" s="5">
        <v>1188</v>
      </c>
      <c r="C30" s="5">
        <v>7</v>
      </c>
      <c r="D30" s="56">
        <f t="shared" si="2"/>
        <v>5.8922558922558923E-3</v>
      </c>
      <c r="F30" s="6" t="s">
        <v>3</v>
      </c>
      <c r="G30" s="5">
        <v>1169</v>
      </c>
      <c r="H30" s="5">
        <v>6</v>
      </c>
      <c r="I30" s="56">
        <f t="shared" si="3"/>
        <v>5.1325919589392645E-3</v>
      </c>
      <c r="K30" s="10"/>
    </row>
    <row r="31" spans="1:11" x14ac:dyDescent="0.2">
      <c r="A31" s="6" t="s">
        <v>2</v>
      </c>
      <c r="B31" s="5">
        <v>1174</v>
      </c>
      <c r="C31" s="5">
        <v>11</v>
      </c>
      <c r="D31" s="56">
        <f t="shared" si="2"/>
        <v>9.3696763202725727E-3</v>
      </c>
      <c r="F31" s="6" t="s">
        <v>2</v>
      </c>
      <c r="G31" s="5">
        <v>1190</v>
      </c>
      <c r="H31" s="5">
        <v>16</v>
      </c>
      <c r="I31" s="56">
        <f t="shared" si="3"/>
        <v>1.3445378151260505E-2</v>
      </c>
      <c r="K31" s="10"/>
    </row>
    <row r="32" spans="1:11" x14ac:dyDescent="0.2">
      <c r="A32" s="6" t="s">
        <v>1</v>
      </c>
      <c r="B32" s="5">
        <v>1134</v>
      </c>
      <c r="C32" s="5">
        <v>11</v>
      </c>
      <c r="D32" s="56">
        <f t="shared" si="2"/>
        <v>9.700176366843033E-3</v>
      </c>
      <c r="F32" s="6" t="s">
        <v>1</v>
      </c>
      <c r="G32" s="5">
        <v>1202</v>
      </c>
      <c r="H32" s="5">
        <v>9</v>
      </c>
      <c r="I32" s="56">
        <f t="shared" si="3"/>
        <v>7.4875207986688855E-3</v>
      </c>
      <c r="K32" s="10"/>
    </row>
    <row r="33" spans="1:11" ht="13.5" thickBot="1" x14ac:dyDescent="0.25">
      <c r="A33" s="3" t="s">
        <v>0</v>
      </c>
      <c r="B33" s="2">
        <v>1155</v>
      </c>
      <c r="C33" s="2">
        <v>6</v>
      </c>
      <c r="D33" s="57">
        <f t="shared" si="2"/>
        <v>5.1948051948051948E-3</v>
      </c>
      <c r="F33" s="3" t="s">
        <v>0</v>
      </c>
      <c r="G33" s="2">
        <v>1195</v>
      </c>
      <c r="H33" s="2">
        <v>6</v>
      </c>
      <c r="I33" s="57">
        <f t="shared" si="3"/>
        <v>5.0209205020920501E-3</v>
      </c>
      <c r="K33" s="10"/>
    </row>
    <row r="34" spans="1:11" x14ac:dyDescent="0.2">
      <c r="K34" s="10"/>
    </row>
    <row r="35" spans="1:11" ht="13.5" thickBot="1" x14ac:dyDescent="0.25">
      <c r="A35" s="14" t="s">
        <v>19</v>
      </c>
      <c r="F35" s="14" t="s">
        <v>19</v>
      </c>
      <c r="K35" s="10"/>
    </row>
    <row r="36" spans="1:11" s="10" customFormat="1" ht="13.5" thickBot="1" x14ac:dyDescent="0.25">
      <c r="A36" s="13" t="s">
        <v>17</v>
      </c>
      <c r="B36" s="12" t="s">
        <v>16</v>
      </c>
      <c r="C36" s="16" t="s">
        <v>26</v>
      </c>
      <c r="D36" s="17" t="s">
        <v>27</v>
      </c>
      <c r="F36" s="13" t="s">
        <v>17</v>
      </c>
      <c r="G36" s="12" t="s">
        <v>16</v>
      </c>
      <c r="H36" s="16" t="s">
        <v>26</v>
      </c>
      <c r="I36" s="17" t="s">
        <v>27</v>
      </c>
    </row>
    <row r="37" spans="1:11" x14ac:dyDescent="0.2">
      <c r="A37" s="9" t="s">
        <v>11</v>
      </c>
      <c r="B37" s="8">
        <v>747</v>
      </c>
      <c r="C37" s="8">
        <v>14</v>
      </c>
      <c r="D37" s="55">
        <f>C37/B37</f>
        <v>1.8741633199464525E-2</v>
      </c>
      <c r="F37" s="9" t="s">
        <v>11</v>
      </c>
      <c r="G37" s="8">
        <v>740</v>
      </c>
      <c r="H37" s="8">
        <v>14</v>
      </c>
      <c r="I37" s="55">
        <f>H37/G37</f>
        <v>1.891891891891892E-2</v>
      </c>
      <c r="K37" s="10"/>
    </row>
    <row r="38" spans="1:11" x14ac:dyDescent="0.2">
      <c r="A38" s="6" t="s">
        <v>10</v>
      </c>
      <c r="B38" s="5">
        <v>652</v>
      </c>
      <c r="C38" s="5">
        <v>13</v>
      </c>
      <c r="D38" s="56">
        <f t="shared" ref="D38:D48" si="4">C38/B38</f>
        <v>1.9938650306748466E-2</v>
      </c>
      <c r="F38" s="6" t="s">
        <v>10</v>
      </c>
      <c r="G38" s="5">
        <v>643</v>
      </c>
      <c r="H38" s="5">
        <v>14</v>
      </c>
      <c r="I38" s="56">
        <f t="shared" ref="I38:I48" si="5">H38/G38</f>
        <v>2.177293934681182E-2</v>
      </c>
      <c r="K38" s="10"/>
    </row>
    <row r="39" spans="1:11" x14ac:dyDescent="0.2">
      <c r="A39" s="6" t="s">
        <v>9</v>
      </c>
      <c r="B39" s="5">
        <v>717</v>
      </c>
      <c r="C39" s="5">
        <v>9</v>
      </c>
      <c r="D39" s="56">
        <f t="shared" si="4"/>
        <v>1.2552301255230125E-2</v>
      </c>
      <c r="F39" s="6" t="s">
        <v>9</v>
      </c>
      <c r="G39" s="5">
        <v>709</v>
      </c>
      <c r="H39" s="5">
        <v>8</v>
      </c>
      <c r="I39" s="56">
        <f t="shared" si="5"/>
        <v>1.1283497884344146E-2</v>
      </c>
      <c r="K39" s="10"/>
    </row>
    <row r="40" spans="1:11" x14ac:dyDescent="0.2">
      <c r="A40" s="6" t="s">
        <v>8</v>
      </c>
      <c r="B40" s="5">
        <v>645</v>
      </c>
      <c r="C40" s="5">
        <v>10</v>
      </c>
      <c r="D40" s="56">
        <f t="shared" si="4"/>
        <v>1.5503875968992248E-2</v>
      </c>
      <c r="F40" s="6" t="s">
        <v>8</v>
      </c>
      <c r="G40" s="5">
        <v>654</v>
      </c>
      <c r="H40" s="5">
        <v>12</v>
      </c>
      <c r="I40" s="56">
        <f t="shared" si="5"/>
        <v>1.834862385321101E-2</v>
      </c>
    </row>
    <row r="41" spans="1:11" x14ac:dyDescent="0.2">
      <c r="A41" s="6" t="s">
        <v>7</v>
      </c>
      <c r="B41" s="5">
        <v>695</v>
      </c>
      <c r="C41" s="5">
        <v>21</v>
      </c>
      <c r="D41" s="56">
        <f t="shared" si="4"/>
        <v>3.0215827338129497E-2</v>
      </c>
      <c r="F41" s="6" t="s">
        <v>7</v>
      </c>
      <c r="G41" s="5">
        <v>717</v>
      </c>
      <c r="H41" s="5">
        <v>17</v>
      </c>
      <c r="I41" s="56">
        <f t="shared" si="5"/>
        <v>2.3709902370990237E-2</v>
      </c>
    </row>
    <row r="42" spans="1:11" x14ac:dyDescent="0.2">
      <c r="A42" s="6" t="s">
        <v>6</v>
      </c>
      <c r="B42" s="5">
        <v>651</v>
      </c>
      <c r="C42" s="5">
        <v>14</v>
      </c>
      <c r="D42" s="56">
        <f t="shared" si="4"/>
        <v>2.1505376344086023E-2</v>
      </c>
      <c r="F42" s="6" t="s">
        <v>6</v>
      </c>
      <c r="G42" s="5">
        <v>662</v>
      </c>
      <c r="H42" s="5">
        <v>12</v>
      </c>
      <c r="I42" s="56">
        <f t="shared" si="5"/>
        <v>1.812688821752266E-2</v>
      </c>
    </row>
    <row r="43" spans="1:11" x14ac:dyDescent="0.2">
      <c r="A43" s="6" t="s">
        <v>5</v>
      </c>
      <c r="B43" s="5">
        <v>741</v>
      </c>
      <c r="C43" s="5">
        <v>18</v>
      </c>
      <c r="D43" s="56">
        <f t="shared" si="4"/>
        <v>2.4291497975708502E-2</v>
      </c>
      <c r="F43" s="6" t="s">
        <v>5</v>
      </c>
      <c r="G43" s="5">
        <v>733</v>
      </c>
      <c r="H43" s="5">
        <v>21</v>
      </c>
      <c r="I43" s="56">
        <f t="shared" si="5"/>
        <v>2.8649386084583901E-2</v>
      </c>
    </row>
    <row r="44" spans="1:11" x14ac:dyDescent="0.2">
      <c r="A44" s="6" t="s">
        <v>4</v>
      </c>
      <c r="B44" s="5">
        <v>728</v>
      </c>
      <c r="C44" s="5">
        <v>7</v>
      </c>
      <c r="D44" s="56">
        <f t="shared" si="4"/>
        <v>9.6153846153846159E-3</v>
      </c>
      <c r="F44" s="6" t="s">
        <v>4</v>
      </c>
      <c r="G44" s="5">
        <v>724</v>
      </c>
      <c r="H44" s="5">
        <v>8</v>
      </c>
      <c r="I44" s="56">
        <f t="shared" si="5"/>
        <v>1.1049723756906077E-2</v>
      </c>
    </row>
    <row r="45" spans="1:11" x14ac:dyDescent="0.2">
      <c r="A45" s="6" t="s">
        <v>3</v>
      </c>
      <c r="B45" s="5">
        <v>685</v>
      </c>
      <c r="C45" s="5">
        <v>11</v>
      </c>
      <c r="D45" s="56">
        <f t="shared" si="4"/>
        <v>1.6058394160583942E-2</v>
      </c>
      <c r="F45" s="6" t="s">
        <v>3</v>
      </c>
      <c r="G45" s="5">
        <v>673</v>
      </c>
      <c r="H45" s="5">
        <v>8</v>
      </c>
      <c r="I45" s="56">
        <f t="shared" si="5"/>
        <v>1.188707280832095E-2</v>
      </c>
    </row>
    <row r="46" spans="1:11" x14ac:dyDescent="0.2">
      <c r="A46" s="6" t="s">
        <v>2</v>
      </c>
      <c r="B46" s="5">
        <v>758</v>
      </c>
      <c r="C46" s="5">
        <v>11</v>
      </c>
      <c r="D46" s="56">
        <f t="shared" si="4"/>
        <v>1.4511873350923483E-2</v>
      </c>
      <c r="F46" s="6" t="s">
        <v>2</v>
      </c>
      <c r="G46" s="5">
        <v>741</v>
      </c>
      <c r="H46" s="5">
        <v>8</v>
      </c>
      <c r="I46" s="56">
        <f t="shared" si="5"/>
        <v>1.0796221322537112E-2</v>
      </c>
    </row>
    <row r="47" spans="1:11" x14ac:dyDescent="0.2">
      <c r="A47" s="6" t="s">
        <v>1</v>
      </c>
      <c r="B47" s="5">
        <v>675</v>
      </c>
      <c r="C47" s="5">
        <v>12</v>
      </c>
      <c r="D47" s="56">
        <f t="shared" si="4"/>
        <v>1.7777777777777778E-2</v>
      </c>
      <c r="F47" s="6" t="s">
        <v>1</v>
      </c>
      <c r="G47" s="5">
        <v>686</v>
      </c>
      <c r="H47" s="5">
        <v>11</v>
      </c>
      <c r="I47" s="56">
        <f t="shared" si="5"/>
        <v>1.6034985422740525E-2</v>
      </c>
    </row>
    <row r="48" spans="1:11" ht="13.5" thickBot="1" x14ac:dyDescent="0.25">
      <c r="A48" s="3" t="s">
        <v>0</v>
      </c>
      <c r="B48" s="2">
        <v>723</v>
      </c>
      <c r="C48" s="2">
        <v>16</v>
      </c>
      <c r="D48" s="57">
        <f t="shared" si="4"/>
        <v>2.2130013831258646E-2</v>
      </c>
      <c r="F48" s="3" t="s">
        <v>0</v>
      </c>
      <c r="G48" s="2">
        <v>737</v>
      </c>
      <c r="H48" s="2">
        <v>13</v>
      </c>
      <c r="I48" s="57">
        <f t="shared" si="5"/>
        <v>1.7639077340569877E-2</v>
      </c>
    </row>
    <row r="50" spans="1:9" ht="13.5" thickBot="1" x14ac:dyDescent="0.25">
      <c r="A50" s="14" t="s">
        <v>18</v>
      </c>
      <c r="F50" s="14" t="s">
        <v>18</v>
      </c>
    </row>
    <row r="51" spans="1:9" s="10" customFormat="1" ht="13.5" thickBot="1" x14ac:dyDescent="0.25">
      <c r="A51" s="13" t="s">
        <v>17</v>
      </c>
      <c r="B51" s="12" t="s">
        <v>16</v>
      </c>
      <c r="C51" s="16" t="s">
        <v>26</v>
      </c>
      <c r="D51" s="17" t="s">
        <v>27</v>
      </c>
      <c r="F51" s="13" t="s">
        <v>17</v>
      </c>
      <c r="G51" s="12" t="s">
        <v>16</v>
      </c>
      <c r="H51" s="16" t="s">
        <v>26</v>
      </c>
      <c r="I51" s="17" t="s">
        <v>27</v>
      </c>
    </row>
    <row r="52" spans="1:9" x14ac:dyDescent="0.2">
      <c r="A52" s="9" t="s">
        <v>11</v>
      </c>
      <c r="B52" s="8">
        <v>675</v>
      </c>
      <c r="C52" s="8">
        <v>10</v>
      </c>
      <c r="D52" s="55">
        <f>C52/B52</f>
        <v>1.4814814814814815E-2</v>
      </c>
      <c r="F52" s="9" t="s">
        <v>11</v>
      </c>
      <c r="G52" s="8">
        <v>669</v>
      </c>
      <c r="H52" s="8">
        <v>9</v>
      </c>
      <c r="I52" s="55">
        <f>H52/G52</f>
        <v>1.3452914798206279E-2</v>
      </c>
    </row>
    <row r="53" spans="1:9" x14ac:dyDescent="0.2">
      <c r="A53" s="6" t="s">
        <v>10</v>
      </c>
      <c r="B53" s="5">
        <v>639</v>
      </c>
      <c r="C53" s="5">
        <v>3</v>
      </c>
      <c r="D53" s="56">
        <f t="shared" ref="D53:D63" si="6">C53/B53</f>
        <v>4.6948356807511738E-3</v>
      </c>
      <c r="F53" s="6" t="s">
        <v>10</v>
      </c>
      <c r="G53" s="5">
        <v>595</v>
      </c>
      <c r="H53" s="5">
        <v>1</v>
      </c>
      <c r="I53" s="56">
        <f t="shared" ref="I53:I63" si="7">H53/G53</f>
        <v>1.6806722689075631E-3</v>
      </c>
    </row>
    <row r="54" spans="1:9" x14ac:dyDescent="0.2">
      <c r="A54" s="6" t="s">
        <v>9</v>
      </c>
      <c r="B54" s="5">
        <v>673</v>
      </c>
      <c r="C54" s="5">
        <v>6</v>
      </c>
      <c r="D54" s="56">
        <f t="shared" si="6"/>
        <v>8.9153046062407128E-3</v>
      </c>
      <c r="F54" s="6" t="s">
        <v>9</v>
      </c>
      <c r="G54" s="5">
        <v>668</v>
      </c>
      <c r="H54" s="5">
        <v>5</v>
      </c>
      <c r="I54" s="56">
        <f t="shared" si="7"/>
        <v>7.4850299401197605E-3</v>
      </c>
    </row>
    <row r="55" spans="1:9" x14ac:dyDescent="0.2">
      <c r="A55" s="6" t="s">
        <v>8</v>
      </c>
      <c r="B55" s="5">
        <v>646</v>
      </c>
      <c r="C55" s="5">
        <v>2</v>
      </c>
      <c r="D55" s="56">
        <f t="shared" si="6"/>
        <v>3.0959752321981426E-3</v>
      </c>
      <c r="F55" s="6" t="s">
        <v>8</v>
      </c>
      <c r="G55" s="5">
        <v>642</v>
      </c>
      <c r="H55" s="5">
        <v>1</v>
      </c>
      <c r="I55" s="56">
        <f t="shared" si="7"/>
        <v>1.557632398753894E-3</v>
      </c>
    </row>
    <row r="56" spans="1:9" x14ac:dyDescent="0.2">
      <c r="A56" s="6" t="s">
        <v>7</v>
      </c>
      <c r="B56" s="5">
        <v>698</v>
      </c>
      <c r="C56" s="5">
        <v>8</v>
      </c>
      <c r="D56" s="56">
        <f t="shared" si="6"/>
        <v>1.1461318051575931E-2</v>
      </c>
      <c r="F56" s="6" t="s">
        <v>7</v>
      </c>
      <c r="G56" s="5">
        <v>712</v>
      </c>
      <c r="H56" s="5">
        <v>5</v>
      </c>
      <c r="I56" s="56">
        <f t="shared" si="7"/>
        <v>7.0224719101123594E-3</v>
      </c>
    </row>
    <row r="57" spans="1:9" x14ac:dyDescent="0.2">
      <c r="A57" s="6" t="s">
        <v>6</v>
      </c>
      <c r="B57" s="5">
        <v>686</v>
      </c>
      <c r="C57" s="5">
        <v>7</v>
      </c>
      <c r="D57" s="56">
        <f t="shared" si="6"/>
        <v>1.020408163265306E-2</v>
      </c>
      <c r="F57" s="6" t="s">
        <v>6</v>
      </c>
      <c r="G57" s="5">
        <v>693</v>
      </c>
      <c r="H57" s="5">
        <v>7</v>
      </c>
      <c r="I57" s="56">
        <f t="shared" si="7"/>
        <v>1.0101010101010102E-2</v>
      </c>
    </row>
    <row r="58" spans="1:9" x14ac:dyDescent="0.2">
      <c r="A58" s="6" t="s">
        <v>5</v>
      </c>
      <c r="B58" s="5">
        <v>727</v>
      </c>
      <c r="C58" s="5">
        <v>8</v>
      </c>
      <c r="D58" s="56">
        <f t="shared" si="6"/>
        <v>1.1004126547455296E-2</v>
      </c>
      <c r="F58" s="6" t="s">
        <v>5</v>
      </c>
      <c r="G58" s="5">
        <v>692</v>
      </c>
      <c r="H58" s="5">
        <v>7</v>
      </c>
      <c r="I58" s="56">
        <f t="shared" si="7"/>
        <v>1.0115606936416185E-2</v>
      </c>
    </row>
    <row r="59" spans="1:9" x14ac:dyDescent="0.2">
      <c r="A59" s="6" t="s">
        <v>4</v>
      </c>
      <c r="B59" s="5">
        <v>693</v>
      </c>
      <c r="C59" s="5">
        <v>7</v>
      </c>
      <c r="D59" s="56">
        <f t="shared" si="6"/>
        <v>1.0101010101010102E-2</v>
      </c>
      <c r="F59" s="6" t="s">
        <v>4</v>
      </c>
      <c r="G59" s="5">
        <v>648</v>
      </c>
      <c r="H59" s="5">
        <v>7</v>
      </c>
      <c r="I59" s="56">
        <f t="shared" si="7"/>
        <v>1.0802469135802469E-2</v>
      </c>
    </row>
    <row r="60" spans="1:9" x14ac:dyDescent="0.2">
      <c r="A60" s="6" t="s">
        <v>3</v>
      </c>
      <c r="B60" s="5">
        <v>718</v>
      </c>
      <c r="C60" s="5">
        <v>3</v>
      </c>
      <c r="D60" s="56">
        <f t="shared" si="6"/>
        <v>4.178272980501393E-3</v>
      </c>
      <c r="F60" s="6" t="s">
        <v>3</v>
      </c>
      <c r="G60" s="5">
        <v>717</v>
      </c>
      <c r="H60" s="5">
        <v>3</v>
      </c>
      <c r="I60" s="56">
        <f t="shared" si="7"/>
        <v>4.1841004184100415E-3</v>
      </c>
    </row>
    <row r="61" spans="1:9" x14ac:dyDescent="0.2">
      <c r="A61" s="6" t="s">
        <v>2</v>
      </c>
      <c r="B61" s="5">
        <v>660</v>
      </c>
      <c r="C61" s="5">
        <v>7</v>
      </c>
      <c r="D61" s="56">
        <f t="shared" si="6"/>
        <v>1.0606060606060607E-2</v>
      </c>
      <c r="F61" s="6" t="s">
        <v>2</v>
      </c>
      <c r="G61" s="5">
        <v>669</v>
      </c>
      <c r="H61" s="5">
        <v>6</v>
      </c>
      <c r="I61" s="56">
        <f t="shared" si="7"/>
        <v>8.9686098654708519E-3</v>
      </c>
    </row>
    <row r="62" spans="1:9" x14ac:dyDescent="0.2">
      <c r="A62" s="6" t="s">
        <v>1</v>
      </c>
      <c r="B62" s="5">
        <v>641</v>
      </c>
      <c r="C62" s="5">
        <v>2</v>
      </c>
      <c r="D62" s="56">
        <f t="shared" si="6"/>
        <v>3.1201248049921998E-3</v>
      </c>
      <c r="F62" s="6" t="s">
        <v>1</v>
      </c>
      <c r="G62" s="5">
        <v>633</v>
      </c>
      <c r="H62" s="5">
        <v>4</v>
      </c>
      <c r="I62" s="56">
        <f t="shared" si="7"/>
        <v>6.3191153238546603E-3</v>
      </c>
    </row>
    <row r="63" spans="1:9" ht="13.5" thickBot="1" x14ac:dyDescent="0.25">
      <c r="A63" s="3" t="s">
        <v>0</v>
      </c>
      <c r="B63" s="2">
        <v>755</v>
      </c>
      <c r="C63" s="2">
        <v>9</v>
      </c>
      <c r="D63" s="57">
        <f t="shared" si="6"/>
        <v>1.1920529801324504E-2</v>
      </c>
      <c r="F63" s="3" t="s">
        <v>0</v>
      </c>
      <c r="G63" s="2">
        <v>726</v>
      </c>
      <c r="H63" s="2">
        <v>9</v>
      </c>
      <c r="I63" s="57">
        <f t="shared" si="7"/>
        <v>1.2396694214876033E-2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A8" sqref="A8"/>
    </sheetView>
  </sheetViews>
  <sheetFormatPr defaultRowHeight="12.75" x14ac:dyDescent="0.2"/>
  <cols>
    <col min="2" max="15" width="11.28515625" customWidth="1"/>
  </cols>
  <sheetData>
    <row r="1" spans="1:15" ht="18" x14ac:dyDescent="0.25">
      <c r="A1" s="54" t="s">
        <v>66</v>
      </c>
    </row>
    <row r="4" spans="1:15" x14ac:dyDescent="0.2">
      <c r="A4" t="s">
        <v>56</v>
      </c>
    </row>
    <row r="5" spans="1:15" ht="13.5" thickBot="1" x14ac:dyDescent="0.25"/>
    <row r="6" spans="1:15" ht="13.5" thickBot="1" x14ac:dyDescent="0.25">
      <c r="H6" s="58" t="s">
        <v>43</v>
      </c>
      <c r="I6" s="59"/>
      <c r="J6" s="59"/>
      <c r="K6" s="60"/>
      <c r="L6" s="58" t="s">
        <v>44</v>
      </c>
      <c r="M6" s="59"/>
      <c r="N6" s="59"/>
      <c r="O6" s="60"/>
    </row>
    <row r="7" spans="1:15" x14ac:dyDescent="0.2">
      <c r="B7" s="61" t="s">
        <v>43</v>
      </c>
      <c r="C7" s="62"/>
      <c r="D7" s="63" t="s">
        <v>44</v>
      </c>
      <c r="E7" s="62"/>
      <c r="H7" s="64" t="s">
        <v>62</v>
      </c>
      <c r="I7" s="65"/>
      <c r="J7" s="65" t="s">
        <v>63</v>
      </c>
      <c r="K7" s="66"/>
      <c r="L7" s="64" t="s">
        <v>62</v>
      </c>
      <c r="M7" s="65"/>
      <c r="N7" s="65" t="s">
        <v>63</v>
      </c>
      <c r="O7" s="66"/>
    </row>
    <row r="8" spans="1:15" ht="13.5" thickBot="1" x14ac:dyDescent="0.25">
      <c r="B8" s="25" t="s">
        <v>41</v>
      </c>
      <c r="C8" s="26" t="s">
        <v>42</v>
      </c>
      <c r="D8" s="27" t="s">
        <v>41</v>
      </c>
      <c r="E8" s="26" t="s">
        <v>42</v>
      </c>
      <c r="H8" s="22" t="s">
        <v>41</v>
      </c>
      <c r="I8" s="23" t="s">
        <v>42</v>
      </c>
      <c r="J8" s="23" t="s">
        <v>41</v>
      </c>
      <c r="K8" s="24" t="s">
        <v>42</v>
      </c>
      <c r="L8" s="22" t="s">
        <v>41</v>
      </c>
      <c r="M8" s="23" t="s">
        <v>42</v>
      </c>
      <c r="N8" s="23" t="s">
        <v>41</v>
      </c>
      <c r="O8" s="24" t="s">
        <v>42</v>
      </c>
    </row>
    <row r="9" spans="1:15" x14ac:dyDescent="0.2">
      <c r="A9" s="36" t="s">
        <v>39</v>
      </c>
      <c r="B9" s="28">
        <v>73</v>
      </c>
      <c r="C9" s="29">
        <v>44</v>
      </c>
      <c r="D9" s="28">
        <v>80</v>
      </c>
      <c r="E9" s="29">
        <v>56</v>
      </c>
      <c r="G9" s="40" t="s">
        <v>39</v>
      </c>
      <c r="H9" s="51">
        <v>67</v>
      </c>
      <c r="I9" s="52">
        <v>38</v>
      </c>
      <c r="J9" s="49">
        <v>6</v>
      </c>
      <c r="K9" s="48">
        <v>6</v>
      </c>
      <c r="L9" s="51">
        <v>70</v>
      </c>
      <c r="M9" s="52">
        <v>48</v>
      </c>
      <c r="N9" s="53">
        <v>10</v>
      </c>
      <c r="O9" s="7">
        <v>8</v>
      </c>
    </row>
    <row r="10" spans="1:15" x14ac:dyDescent="0.2">
      <c r="A10" s="37" t="s">
        <v>33</v>
      </c>
      <c r="B10" s="30">
        <v>406</v>
      </c>
      <c r="C10" s="4">
        <v>387</v>
      </c>
      <c r="D10" s="30">
        <v>430</v>
      </c>
      <c r="E10" s="4">
        <v>355</v>
      </c>
      <c r="G10" s="41" t="s">
        <v>33</v>
      </c>
      <c r="H10" s="44">
        <v>339</v>
      </c>
      <c r="I10" s="45">
        <v>272</v>
      </c>
      <c r="J10" s="43">
        <v>67</v>
      </c>
      <c r="K10" s="45">
        <v>115</v>
      </c>
      <c r="L10" s="44">
        <v>367</v>
      </c>
      <c r="M10" s="45">
        <v>248</v>
      </c>
      <c r="N10" s="32">
        <v>63</v>
      </c>
      <c r="O10" s="4">
        <v>107</v>
      </c>
    </row>
    <row r="11" spans="1:15" x14ac:dyDescent="0.2">
      <c r="A11" s="37" t="s">
        <v>35</v>
      </c>
      <c r="B11" s="30">
        <v>53</v>
      </c>
      <c r="C11" s="4">
        <v>55</v>
      </c>
      <c r="D11" s="30">
        <v>52</v>
      </c>
      <c r="E11" s="4">
        <v>55</v>
      </c>
      <c r="G11" s="41" t="s">
        <v>35</v>
      </c>
      <c r="H11" s="44">
        <v>33</v>
      </c>
      <c r="I11" s="45">
        <v>24</v>
      </c>
      <c r="J11" s="43">
        <v>20</v>
      </c>
      <c r="K11" s="45">
        <v>31</v>
      </c>
      <c r="L11" s="44">
        <v>33</v>
      </c>
      <c r="M11" s="45">
        <v>26</v>
      </c>
      <c r="N11" s="32">
        <v>19</v>
      </c>
      <c r="O11" s="4">
        <v>29</v>
      </c>
    </row>
    <row r="12" spans="1:15" x14ac:dyDescent="0.2">
      <c r="A12" s="37" t="s">
        <v>30</v>
      </c>
      <c r="B12" s="30">
        <v>648</v>
      </c>
      <c r="C12" s="4">
        <v>528</v>
      </c>
      <c r="D12" s="30">
        <v>713</v>
      </c>
      <c r="E12" s="4">
        <v>419</v>
      </c>
      <c r="G12" s="41" t="s">
        <v>30</v>
      </c>
      <c r="H12" s="44">
        <v>436</v>
      </c>
      <c r="I12" s="45">
        <v>331</v>
      </c>
      <c r="J12" s="43">
        <v>212</v>
      </c>
      <c r="K12" s="45">
        <v>197</v>
      </c>
      <c r="L12" s="44">
        <v>463</v>
      </c>
      <c r="M12" s="45">
        <v>260</v>
      </c>
      <c r="N12" s="32">
        <v>250</v>
      </c>
      <c r="O12" s="4">
        <v>159</v>
      </c>
    </row>
    <row r="13" spans="1:15" x14ac:dyDescent="0.2">
      <c r="A13" s="37" t="s">
        <v>37</v>
      </c>
      <c r="B13" s="30">
        <v>1</v>
      </c>
      <c r="C13" s="4">
        <v>6</v>
      </c>
      <c r="D13" s="30">
        <v>2</v>
      </c>
      <c r="E13" s="4">
        <v>4</v>
      </c>
      <c r="G13" s="41" t="s">
        <v>37</v>
      </c>
      <c r="H13" s="44"/>
      <c r="I13" s="45">
        <v>4</v>
      </c>
      <c r="J13" s="43">
        <v>1</v>
      </c>
      <c r="K13" s="45">
        <v>2</v>
      </c>
      <c r="L13" s="44">
        <v>1</v>
      </c>
      <c r="M13" s="45">
        <v>2</v>
      </c>
      <c r="N13" s="32">
        <v>1</v>
      </c>
      <c r="O13" s="4">
        <v>2</v>
      </c>
    </row>
    <row r="14" spans="1:15" x14ac:dyDescent="0.2">
      <c r="A14" s="37" t="s">
        <v>58</v>
      </c>
      <c r="B14" s="30">
        <v>58</v>
      </c>
      <c r="C14" s="4">
        <v>154</v>
      </c>
      <c r="D14" s="30">
        <v>66</v>
      </c>
      <c r="E14" s="4">
        <v>163</v>
      </c>
      <c r="G14" s="41" t="s">
        <v>58</v>
      </c>
      <c r="H14" s="44">
        <v>36</v>
      </c>
      <c r="I14" s="45">
        <v>94</v>
      </c>
      <c r="J14" s="43">
        <v>22</v>
      </c>
      <c r="K14" s="45">
        <v>60</v>
      </c>
      <c r="L14" s="44">
        <v>39</v>
      </c>
      <c r="M14" s="45">
        <v>87</v>
      </c>
      <c r="N14" s="32">
        <v>27</v>
      </c>
      <c r="O14" s="4">
        <v>76</v>
      </c>
    </row>
    <row r="15" spans="1:15" x14ac:dyDescent="0.2">
      <c r="A15" s="37" t="s">
        <v>38</v>
      </c>
      <c r="B15" s="30">
        <v>73</v>
      </c>
      <c r="C15" s="4">
        <v>50</v>
      </c>
      <c r="D15" s="30">
        <v>69</v>
      </c>
      <c r="E15" s="4">
        <v>53</v>
      </c>
      <c r="G15" s="41" t="s">
        <v>38</v>
      </c>
      <c r="H15" s="44">
        <v>37</v>
      </c>
      <c r="I15" s="45">
        <v>29</v>
      </c>
      <c r="J15" s="43">
        <v>36</v>
      </c>
      <c r="K15" s="45">
        <v>21</v>
      </c>
      <c r="L15" s="44">
        <v>34</v>
      </c>
      <c r="M15" s="45">
        <v>31</v>
      </c>
      <c r="N15" s="32">
        <v>35</v>
      </c>
      <c r="O15" s="4">
        <v>22</v>
      </c>
    </row>
    <row r="16" spans="1:15" x14ac:dyDescent="0.2">
      <c r="A16" s="37" t="s">
        <v>32</v>
      </c>
      <c r="B16" s="30">
        <v>12</v>
      </c>
      <c r="C16" s="4"/>
      <c r="D16" s="30">
        <v>9</v>
      </c>
      <c r="E16" s="4"/>
      <c r="G16" s="41" t="s">
        <v>32</v>
      </c>
      <c r="H16" s="44">
        <v>6</v>
      </c>
      <c r="I16" s="45"/>
      <c r="J16" s="43">
        <v>6</v>
      </c>
      <c r="K16" s="45"/>
      <c r="L16" s="44">
        <v>5</v>
      </c>
      <c r="M16" s="45"/>
      <c r="N16" s="32">
        <v>4</v>
      </c>
      <c r="O16" s="4"/>
    </row>
    <row r="17" spans="1:17" x14ac:dyDescent="0.2">
      <c r="A17" s="37" t="s">
        <v>34</v>
      </c>
      <c r="B17" s="30">
        <v>592</v>
      </c>
      <c r="C17" s="4">
        <v>145</v>
      </c>
      <c r="D17" s="30">
        <v>651</v>
      </c>
      <c r="E17" s="4">
        <v>152</v>
      </c>
      <c r="G17" s="41" t="s">
        <v>34</v>
      </c>
      <c r="H17" s="44">
        <v>437</v>
      </c>
      <c r="I17" s="45">
        <v>106</v>
      </c>
      <c r="J17" s="43">
        <v>155</v>
      </c>
      <c r="K17" s="45">
        <v>39</v>
      </c>
      <c r="L17" s="44">
        <v>466</v>
      </c>
      <c r="M17" s="45">
        <v>112</v>
      </c>
      <c r="N17" s="32">
        <v>185</v>
      </c>
      <c r="O17" s="4">
        <v>40</v>
      </c>
    </row>
    <row r="18" spans="1:17" x14ac:dyDescent="0.2">
      <c r="A18" s="37" t="s">
        <v>31</v>
      </c>
      <c r="B18" s="30">
        <v>30</v>
      </c>
      <c r="C18" s="4">
        <v>6</v>
      </c>
      <c r="D18" s="30">
        <v>27</v>
      </c>
      <c r="E18" s="4">
        <v>5</v>
      </c>
      <c r="G18" s="41" t="s">
        <v>31</v>
      </c>
      <c r="H18" s="44">
        <v>18</v>
      </c>
      <c r="I18" s="45">
        <v>5</v>
      </c>
      <c r="J18" s="43">
        <v>12</v>
      </c>
      <c r="K18" s="45">
        <v>1</v>
      </c>
      <c r="L18" s="44">
        <v>15</v>
      </c>
      <c r="M18" s="45">
        <v>4</v>
      </c>
      <c r="N18" s="32">
        <v>12</v>
      </c>
      <c r="O18" s="4">
        <v>1</v>
      </c>
    </row>
    <row r="19" spans="1:17" x14ac:dyDescent="0.2">
      <c r="A19" s="37" t="s">
        <v>59</v>
      </c>
      <c r="B19" s="30">
        <v>105</v>
      </c>
      <c r="C19" s="4">
        <v>180</v>
      </c>
      <c r="D19" s="30">
        <v>117</v>
      </c>
      <c r="E19" s="4">
        <v>175</v>
      </c>
      <c r="G19" s="41" t="s">
        <v>59</v>
      </c>
      <c r="H19" s="44">
        <v>80</v>
      </c>
      <c r="I19" s="45">
        <v>138</v>
      </c>
      <c r="J19" s="43">
        <v>25</v>
      </c>
      <c r="K19" s="45">
        <v>42</v>
      </c>
      <c r="L19" s="44">
        <v>77</v>
      </c>
      <c r="M19" s="45">
        <v>130</v>
      </c>
      <c r="N19" s="32">
        <v>40</v>
      </c>
      <c r="O19" s="4">
        <v>45</v>
      </c>
    </row>
    <row r="20" spans="1:17" ht="13.5" thickBot="1" x14ac:dyDescent="0.25">
      <c r="A20" s="38" t="s">
        <v>36</v>
      </c>
      <c r="B20" s="31">
        <v>39</v>
      </c>
      <c r="C20" s="1">
        <v>27</v>
      </c>
      <c r="D20" s="31">
        <v>43</v>
      </c>
      <c r="E20" s="1">
        <v>21</v>
      </c>
      <c r="G20" s="42" t="s">
        <v>36</v>
      </c>
      <c r="H20" s="46">
        <v>24</v>
      </c>
      <c r="I20" s="47">
        <v>13</v>
      </c>
      <c r="J20" s="50">
        <v>15</v>
      </c>
      <c r="K20" s="47">
        <v>14</v>
      </c>
      <c r="L20" s="46">
        <v>28</v>
      </c>
      <c r="M20" s="47">
        <v>15</v>
      </c>
      <c r="N20" s="33">
        <v>15</v>
      </c>
      <c r="O20" s="1">
        <v>6</v>
      </c>
    </row>
    <row r="25" spans="1:17" x14ac:dyDescent="0.2">
      <c r="A25" s="35" t="s">
        <v>43</v>
      </c>
    </row>
    <row r="26" spans="1:17" x14ac:dyDescent="0.2">
      <c r="A26" t="s">
        <v>57</v>
      </c>
      <c r="B26" t="s">
        <v>39</v>
      </c>
      <c r="C26" t="s">
        <v>33</v>
      </c>
      <c r="D26" t="s">
        <v>35</v>
      </c>
      <c r="E26" t="s">
        <v>30</v>
      </c>
      <c r="F26" t="s">
        <v>37</v>
      </c>
      <c r="G26" t="s">
        <v>58</v>
      </c>
      <c r="H26" t="s">
        <v>38</v>
      </c>
      <c r="I26" t="s">
        <v>32</v>
      </c>
      <c r="J26" t="s">
        <v>34</v>
      </c>
      <c r="K26" t="s">
        <v>31</v>
      </c>
      <c r="L26" t="s">
        <v>59</v>
      </c>
      <c r="M26" t="s">
        <v>36</v>
      </c>
      <c r="N26" t="s">
        <v>60</v>
      </c>
      <c r="P26" s="34" t="s">
        <v>39</v>
      </c>
      <c r="Q26" s="34" t="s">
        <v>55</v>
      </c>
    </row>
    <row r="27" spans="1:17" x14ac:dyDescent="0.2">
      <c r="A27" t="s">
        <v>11</v>
      </c>
      <c r="B27">
        <v>9</v>
      </c>
      <c r="C27">
        <v>59</v>
      </c>
      <c r="D27">
        <v>12</v>
      </c>
      <c r="E27">
        <v>89</v>
      </c>
      <c r="F27">
        <v>1</v>
      </c>
      <c r="G27">
        <v>22</v>
      </c>
      <c r="H27">
        <v>11</v>
      </c>
      <c r="J27">
        <v>58</v>
      </c>
      <c r="K27">
        <v>4</v>
      </c>
      <c r="L27">
        <v>21</v>
      </c>
      <c r="M27">
        <v>8</v>
      </c>
      <c r="N27">
        <v>294</v>
      </c>
      <c r="P27" s="34" t="s">
        <v>33</v>
      </c>
      <c r="Q27" s="34" t="s">
        <v>49</v>
      </c>
    </row>
    <row r="28" spans="1:17" x14ac:dyDescent="0.2">
      <c r="A28" t="s">
        <v>10</v>
      </c>
      <c r="B28">
        <v>10</v>
      </c>
      <c r="C28">
        <v>56</v>
      </c>
      <c r="D28">
        <v>10</v>
      </c>
      <c r="E28">
        <v>86</v>
      </c>
      <c r="G28">
        <v>12</v>
      </c>
      <c r="H28">
        <v>16</v>
      </c>
      <c r="I28">
        <v>1</v>
      </c>
      <c r="J28">
        <v>53</v>
      </c>
      <c r="K28">
        <v>1</v>
      </c>
      <c r="L28">
        <v>29</v>
      </c>
      <c r="N28">
        <v>274</v>
      </c>
      <c r="P28" s="34" t="s">
        <v>35</v>
      </c>
      <c r="Q28" s="34" t="s">
        <v>51</v>
      </c>
    </row>
    <row r="29" spans="1:17" x14ac:dyDescent="0.2">
      <c r="A29" t="s">
        <v>9</v>
      </c>
      <c r="B29">
        <v>6</v>
      </c>
      <c r="C29">
        <v>57</v>
      </c>
      <c r="D29">
        <v>11</v>
      </c>
      <c r="E29">
        <v>99</v>
      </c>
      <c r="F29">
        <v>2</v>
      </c>
      <c r="G29">
        <v>16</v>
      </c>
      <c r="H29">
        <v>6</v>
      </c>
      <c r="J29">
        <v>55</v>
      </c>
      <c r="K29">
        <v>3</v>
      </c>
      <c r="L29">
        <v>29</v>
      </c>
      <c r="M29">
        <v>4</v>
      </c>
      <c r="N29">
        <v>288</v>
      </c>
      <c r="P29" s="34" t="s">
        <v>30</v>
      </c>
      <c r="Q29" s="34" t="s">
        <v>46</v>
      </c>
    </row>
    <row r="30" spans="1:17" x14ac:dyDescent="0.2">
      <c r="A30" t="s">
        <v>8</v>
      </c>
      <c r="B30">
        <v>10</v>
      </c>
      <c r="C30">
        <v>61</v>
      </c>
      <c r="D30">
        <v>10</v>
      </c>
      <c r="E30">
        <v>93</v>
      </c>
      <c r="G30">
        <v>10</v>
      </c>
      <c r="H30">
        <v>8</v>
      </c>
      <c r="I30">
        <v>3</v>
      </c>
      <c r="J30">
        <v>57</v>
      </c>
      <c r="L30">
        <v>19</v>
      </c>
      <c r="M30">
        <v>4</v>
      </c>
      <c r="N30">
        <v>275</v>
      </c>
      <c r="P30" s="34" t="s">
        <v>37</v>
      </c>
      <c r="Q30" s="34" t="s">
        <v>54</v>
      </c>
    </row>
    <row r="31" spans="1:17" x14ac:dyDescent="0.2">
      <c r="A31" t="s">
        <v>7</v>
      </c>
      <c r="B31">
        <v>9</v>
      </c>
      <c r="C31">
        <v>65</v>
      </c>
      <c r="D31">
        <v>4</v>
      </c>
      <c r="E31">
        <v>130</v>
      </c>
      <c r="F31">
        <v>1</v>
      </c>
      <c r="G31">
        <v>17</v>
      </c>
      <c r="H31">
        <v>14</v>
      </c>
      <c r="I31">
        <v>3</v>
      </c>
      <c r="J31">
        <v>74</v>
      </c>
      <c r="K31">
        <v>6</v>
      </c>
      <c r="L31">
        <v>29</v>
      </c>
      <c r="M31">
        <v>8</v>
      </c>
      <c r="N31">
        <v>360</v>
      </c>
      <c r="P31" s="39" t="s">
        <v>58</v>
      </c>
      <c r="Q31" s="39" t="s">
        <v>40</v>
      </c>
    </row>
    <row r="32" spans="1:17" x14ac:dyDescent="0.2">
      <c r="A32" t="s">
        <v>6</v>
      </c>
      <c r="B32">
        <v>11</v>
      </c>
      <c r="C32">
        <v>68</v>
      </c>
      <c r="D32">
        <v>9</v>
      </c>
      <c r="E32">
        <v>108</v>
      </c>
      <c r="G32">
        <v>23</v>
      </c>
      <c r="H32">
        <v>9</v>
      </c>
      <c r="I32">
        <v>1</v>
      </c>
      <c r="J32">
        <v>65</v>
      </c>
      <c r="K32">
        <v>3</v>
      </c>
      <c r="L32">
        <v>26</v>
      </c>
      <c r="M32">
        <v>7</v>
      </c>
      <c r="N32">
        <v>330</v>
      </c>
      <c r="P32" s="34" t="s">
        <v>38</v>
      </c>
      <c r="Q32" s="34" t="s">
        <v>53</v>
      </c>
    </row>
    <row r="33" spans="1:17" x14ac:dyDescent="0.2">
      <c r="A33" t="s">
        <v>5</v>
      </c>
      <c r="B33">
        <v>12</v>
      </c>
      <c r="C33">
        <v>70</v>
      </c>
      <c r="D33">
        <v>5</v>
      </c>
      <c r="E33">
        <v>132</v>
      </c>
      <c r="G33">
        <v>21</v>
      </c>
      <c r="H33">
        <v>12</v>
      </c>
      <c r="J33">
        <v>81</v>
      </c>
      <c r="K33">
        <v>4</v>
      </c>
      <c r="L33">
        <v>28</v>
      </c>
      <c r="M33">
        <v>5</v>
      </c>
      <c r="N33">
        <v>370</v>
      </c>
      <c r="P33" s="34" t="s">
        <v>32</v>
      </c>
      <c r="Q33" s="34" t="s">
        <v>48</v>
      </c>
    </row>
    <row r="34" spans="1:17" x14ac:dyDescent="0.2">
      <c r="A34" t="s">
        <v>4</v>
      </c>
      <c r="B34">
        <v>12</v>
      </c>
      <c r="C34">
        <v>69</v>
      </c>
      <c r="D34">
        <v>13</v>
      </c>
      <c r="E34">
        <v>130</v>
      </c>
      <c r="G34">
        <v>21</v>
      </c>
      <c r="H34">
        <v>7</v>
      </c>
      <c r="I34">
        <v>2</v>
      </c>
      <c r="J34">
        <v>81</v>
      </c>
      <c r="K34">
        <v>4</v>
      </c>
      <c r="L34">
        <v>28</v>
      </c>
      <c r="M34">
        <v>4</v>
      </c>
      <c r="N34">
        <v>371</v>
      </c>
      <c r="P34" s="34" t="s">
        <v>34</v>
      </c>
      <c r="Q34" s="34" t="s">
        <v>50</v>
      </c>
    </row>
    <row r="35" spans="1:17" x14ac:dyDescent="0.2">
      <c r="A35" t="s">
        <v>3</v>
      </c>
      <c r="B35">
        <v>6</v>
      </c>
      <c r="C35">
        <v>80</v>
      </c>
      <c r="D35">
        <v>10</v>
      </c>
      <c r="E35">
        <v>71</v>
      </c>
      <c r="F35">
        <v>2</v>
      </c>
      <c r="G35">
        <v>11</v>
      </c>
      <c r="H35">
        <v>9</v>
      </c>
      <c r="J35">
        <v>58</v>
      </c>
      <c r="K35">
        <v>4</v>
      </c>
      <c r="L35">
        <v>17</v>
      </c>
      <c r="M35">
        <v>8</v>
      </c>
      <c r="N35">
        <v>276</v>
      </c>
      <c r="P35" s="34" t="s">
        <v>31</v>
      </c>
      <c r="Q35" s="34" t="s">
        <v>47</v>
      </c>
    </row>
    <row r="36" spans="1:17" x14ac:dyDescent="0.2">
      <c r="A36" t="s">
        <v>2</v>
      </c>
      <c r="B36">
        <v>14</v>
      </c>
      <c r="C36">
        <v>72</v>
      </c>
      <c r="D36">
        <v>11</v>
      </c>
      <c r="E36">
        <v>70</v>
      </c>
      <c r="G36">
        <v>20</v>
      </c>
      <c r="H36">
        <v>15</v>
      </c>
      <c r="J36">
        <v>51</v>
      </c>
      <c r="K36">
        <v>1</v>
      </c>
      <c r="L36">
        <v>18</v>
      </c>
      <c r="M36">
        <v>8</v>
      </c>
      <c r="N36">
        <v>280</v>
      </c>
      <c r="P36" s="34" t="s">
        <v>29</v>
      </c>
      <c r="Q36" s="34" t="s">
        <v>45</v>
      </c>
    </row>
    <row r="37" spans="1:17" x14ac:dyDescent="0.2">
      <c r="A37" t="s">
        <v>1</v>
      </c>
      <c r="B37">
        <v>9</v>
      </c>
      <c r="C37">
        <v>65</v>
      </c>
      <c r="D37">
        <v>6</v>
      </c>
      <c r="E37">
        <v>79</v>
      </c>
      <c r="G37">
        <v>18</v>
      </c>
      <c r="H37">
        <v>5</v>
      </c>
      <c r="I37">
        <v>1</v>
      </c>
      <c r="J37">
        <v>53</v>
      </c>
      <c r="K37">
        <v>3</v>
      </c>
      <c r="L37">
        <v>22</v>
      </c>
      <c r="M37">
        <v>4</v>
      </c>
      <c r="N37">
        <v>265</v>
      </c>
      <c r="P37" s="34" t="s">
        <v>36</v>
      </c>
      <c r="Q37" s="34" t="s">
        <v>52</v>
      </c>
    </row>
    <row r="38" spans="1:17" x14ac:dyDescent="0.2">
      <c r="A38" t="s">
        <v>0</v>
      </c>
      <c r="B38">
        <v>9</v>
      </c>
      <c r="C38">
        <v>71</v>
      </c>
      <c r="D38">
        <v>7</v>
      </c>
      <c r="E38">
        <v>89</v>
      </c>
      <c r="F38">
        <v>1</v>
      </c>
      <c r="G38">
        <v>21</v>
      </c>
      <c r="H38">
        <v>11</v>
      </c>
      <c r="I38">
        <v>1</v>
      </c>
      <c r="J38">
        <v>51</v>
      </c>
      <c r="K38">
        <v>3</v>
      </c>
      <c r="L38">
        <v>19</v>
      </c>
      <c r="M38">
        <v>6</v>
      </c>
      <c r="N38">
        <v>289</v>
      </c>
    </row>
    <row r="39" spans="1:17" x14ac:dyDescent="0.2">
      <c r="A39" t="s">
        <v>61</v>
      </c>
      <c r="B39">
        <f>SUBTOTAL(109,Table14[ASD])</f>
        <v>117</v>
      </c>
      <c r="C39">
        <f>SUBTOTAL(109,Table14[BESD])</f>
        <v>793</v>
      </c>
      <c r="D39">
        <f>SUBTOTAL(109,Table14[HI])</f>
        <v>108</v>
      </c>
      <c r="E39">
        <f>SUBTOTAL(109,Table14[MLD])</f>
        <v>1176</v>
      </c>
      <c r="F39">
        <f>SUBTOTAL(109,Table14[MSI])</f>
        <v>7</v>
      </c>
      <c r="G39">
        <f>SUBTOTAL(109,Table14[OTH])</f>
        <v>212</v>
      </c>
      <c r="H39">
        <f>SUBTOTAL(109,Table14[PD])</f>
        <v>123</v>
      </c>
      <c r="I39">
        <f>SUBTOTAL(109,Table14[PMLD])</f>
        <v>12</v>
      </c>
      <c r="J39">
        <f>SUBTOTAL(109,Table14[SLCN])</f>
        <v>737</v>
      </c>
      <c r="K39">
        <f>SUBTOTAL(109,Table14[SLD])</f>
        <v>36</v>
      </c>
      <c r="L39">
        <f>SUBTOTAL(109,Table14[SPLD])</f>
        <v>285</v>
      </c>
      <c r="M39">
        <f>SUBTOTAL(109,Table14[VI])</f>
        <v>66</v>
      </c>
      <c r="N39">
        <f>SUBTOTAL(109,Table14[Grand Total])</f>
        <v>3672</v>
      </c>
    </row>
    <row r="42" spans="1:17" x14ac:dyDescent="0.2">
      <c r="A42" s="35" t="s">
        <v>44</v>
      </c>
    </row>
    <row r="43" spans="1:17" x14ac:dyDescent="0.2">
      <c r="A43" t="s">
        <v>57</v>
      </c>
      <c r="B43" t="s">
        <v>39</v>
      </c>
      <c r="C43" t="s">
        <v>33</v>
      </c>
      <c r="D43" t="s">
        <v>35</v>
      </c>
      <c r="E43" t="s">
        <v>30</v>
      </c>
      <c r="F43" t="s">
        <v>37</v>
      </c>
      <c r="G43" t="s">
        <v>58</v>
      </c>
      <c r="H43" t="s">
        <v>38</v>
      </c>
      <c r="I43" t="s">
        <v>32</v>
      </c>
      <c r="J43" t="s">
        <v>34</v>
      </c>
      <c r="K43" t="s">
        <v>31</v>
      </c>
      <c r="L43" t="s">
        <v>59</v>
      </c>
      <c r="M43" t="s">
        <v>36</v>
      </c>
      <c r="N43" t="s">
        <v>60</v>
      </c>
    </row>
    <row r="44" spans="1:17" x14ac:dyDescent="0.2">
      <c r="A44" t="s">
        <v>11</v>
      </c>
      <c r="B44">
        <v>8</v>
      </c>
      <c r="C44">
        <v>56</v>
      </c>
      <c r="D44">
        <v>9</v>
      </c>
      <c r="E44">
        <v>72</v>
      </c>
      <c r="F44">
        <v>1</v>
      </c>
      <c r="G44">
        <v>28</v>
      </c>
      <c r="H44">
        <v>10</v>
      </c>
      <c r="J44">
        <v>68</v>
      </c>
      <c r="K44">
        <v>3</v>
      </c>
      <c r="L44">
        <v>25</v>
      </c>
      <c r="M44">
        <v>7</v>
      </c>
      <c r="N44">
        <v>169</v>
      </c>
    </row>
    <row r="45" spans="1:17" x14ac:dyDescent="0.2">
      <c r="A45" t="s">
        <v>10</v>
      </c>
      <c r="B45">
        <v>12</v>
      </c>
      <c r="C45">
        <v>54</v>
      </c>
      <c r="D45">
        <v>9</v>
      </c>
      <c r="E45">
        <v>83</v>
      </c>
      <c r="G45">
        <v>17</v>
      </c>
      <c r="H45">
        <v>15</v>
      </c>
      <c r="I45">
        <v>1</v>
      </c>
      <c r="J45">
        <v>66</v>
      </c>
      <c r="K45">
        <v>1</v>
      </c>
      <c r="L45">
        <v>28</v>
      </c>
      <c r="N45">
        <v>169</v>
      </c>
    </row>
    <row r="46" spans="1:17" x14ac:dyDescent="0.2">
      <c r="A46" t="s">
        <v>9</v>
      </c>
      <c r="B46">
        <v>9</v>
      </c>
      <c r="C46">
        <v>58</v>
      </c>
      <c r="D46">
        <v>10</v>
      </c>
      <c r="E46">
        <v>82</v>
      </c>
      <c r="F46">
        <v>1</v>
      </c>
      <c r="G46">
        <v>17</v>
      </c>
      <c r="H46">
        <v>9</v>
      </c>
      <c r="J46">
        <v>54</v>
      </c>
      <c r="K46">
        <v>1</v>
      </c>
      <c r="L46">
        <v>29</v>
      </c>
      <c r="M46">
        <v>3</v>
      </c>
      <c r="N46">
        <v>150</v>
      </c>
    </row>
    <row r="47" spans="1:17" x14ac:dyDescent="0.2">
      <c r="A47" t="s">
        <v>8</v>
      </c>
      <c r="B47">
        <v>12</v>
      </c>
      <c r="C47">
        <v>54</v>
      </c>
      <c r="D47">
        <v>6</v>
      </c>
      <c r="E47">
        <v>112</v>
      </c>
      <c r="G47">
        <v>12</v>
      </c>
      <c r="H47">
        <v>4</v>
      </c>
      <c r="I47">
        <v>2</v>
      </c>
      <c r="J47">
        <v>58</v>
      </c>
      <c r="L47">
        <v>17</v>
      </c>
      <c r="M47">
        <v>2</v>
      </c>
      <c r="N47">
        <v>174</v>
      </c>
    </row>
    <row r="48" spans="1:17" x14ac:dyDescent="0.2">
      <c r="A48" t="s">
        <v>7</v>
      </c>
      <c r="B48">
        <v>13</v>
      </c>
      <c r="C48">
        <v>75</v>
      </c>
      <c r="D48">
        <v>9</v>
      </c>
      <c r="E48">
        <v>110</v>
      </c>
      <c r="F48">
        <v>1</v>
      </c>
      <c r="G48">
        <v>22</v>
      </c>
      <c r="H48">
        <v>17</v>
      </c>
      <c r="I48">
        <v>1</v>
      </c>
      <c r="J48">
        <v>86</v>
      </c>
      <c r="K48">
        <v>4</v>
      </c>
      <c r="L48">
        <v>33</v>
      </c>
      <c r="M48">
        <v>5</v>
      </c>
      <c r="N48">
        <v>238</v>
      </c>
    </row>
    <row r="49" spans="1:14" x14ac:dyDescent="0.2">
      <c r="A49" t="s">
        <v>6</v>
      </c>
      <c r="B49">
        <v>13</v>
      </c>
      <c r="C49">
        <v>53</v>
      </c>
      <c r="D49">
        <v>7</v>
      </c>
      <c r="E49">
        <v>105</v>
      </c>
      <c r="G49">
        <v>21</v>
      </c>
      <c r="H49">
        <v>10</v>
      </c>
      <c r="I49">
        <v>1</v>
      </c>
      <c r="J49">
        <v>78</v>
      </c>
      <c r="K49">
        <v>2</v>
      </c>
      <c r="L49">
        <v>19</v>
      </c>
      <c r="M49">
        <v>7</v>
      </c>
      <c r="N49">
        <v>200</v>
      </c>
    </row>
    <row r="50" spans="1:14" x14ac:dyDescent="0.2">
      <c r="A50" t="s">
        <v>5</v>
      </c>
      <c r="B50">
        <v>15</v>
      </c>
      <c r="C50">
        <v>76</v>
      </c>
      <c r="D50">
        <v>5</v>
      </c>
      <c r="E50">
        <v>134</v>
      </c>
      <c r="G50">
        <v>19</v>
      </c>
      <c r="H50">
        <v>13</v>
      </c>
      <c r="J50">
        <v>84</v>
      </c>
      <c r="K50">
        <v>5</v>
      </c>
      <c r="L50">
        <v>33</v>
      </c>
      <c r="M50">
        <v>8</v>
      </c>
      <c r="N50">
        <v>234</v>
      </c>
    </row>
    <row r="51" spans="1:14" x14ac:dyDescent="0.2">
      <c r="A51" t="s">
        <v>4</v>
      </c>
      <c r="B51">
        <v>13</v>
      </c>
      <c r="C51">
        <v>67</v>
      </c>
      <c r="D51">
        <v>16</v>
      </c>
      <c r="E51">
        <v>133</v>
      </c>
      <c r="F51">
        <v>1</v>
      </c>
      <c r="G51">
        <v>22</v>
      </c>
      <c r="H51">
        <v>7</v>
      </c>
      <c r="I51">
        <v>1</v>
      </c>
      <c r="J51">
        <v>82</v>
      </c>
      <c r="K51">
        <v>3</v>
      </c>
      <c r="L51">
        <v>28</v>
      </c>
      <c r="M51">
        <v>4</v>
      </c>
      <c r="N51">
        <v>255</v>
      </c>
    </row>
    <row r="52" spans="1:14" x14ac:dyDescent="0.2">
      <c r="A52" t="s">
        <v>3</v>
      </c>
      <c r="B52">
        <v>8</v>
      </c>
      <c r="C52">
        <v>77</v>
      </c>
      <c r="D52">
        <v>13</v>
      </c>
      <c r="E52">
        <v>65</v>
      </c>
      <c r="G52">
        <v>14</v>
      </c>
      <c r="H52">
        <v>8</v>
      </c>
      <c r="J52">
        <v>53</v>
      </c>
      <c r="K52">
        <v>4</v>
      </c>
      <c r="L52">
        <v>16</v>
      </c>
      <c r="M52">
        <v>8</v>
      </c>
      <c r="N52">
        <v>151</v>
      </c>
    </row>
    <row r="53" spans="1:14" x14ac:dyDescent="0.2">
      <c r="A53" t="s">
        <v>2</v>
      </c>
      <c r="B53">
        <v>14</v>
      </c>
      <c r="C53">
        <v>80</v>
      </c>
      <c r="D53">
        <v>14</v>
      </c>
      <c r="E53">
        <v>76</v>
      </c>
      <c r="F53">
        <v>1</v>
      </c>
      <c r="G53">
        <v>17</v>
      </c>
      <c r="H53">
        <v>15</v>
      </c>
      <c r="J53">
        <v>51</v>
      </c>
      <c r="K53">
        <v>2</v>
      </c>
      <c r="L53">
        <v>18</v>
      </c>
      <c r="M53">
        <v>8</v>
      </c>
      <c r="N53">
        <v>184</v>
      </c>
    </row>
    <row r="54" spans="1:14" x14ac:dyDescent="0.2">
      <c r="A54" t="s">
        <v>1</v>
      </c>
      <c r="B54">
        <v>10</v>
      </c>
      <c r="C54">
        <v>61</v>
      </c>
      <c r="D54">
        <v>4</v>
      </c>
      <c r="E54">
        <v>75</v>
      </c>
      <c r="G54">
        <v>17</v>
      </c>
      <c r="H54">
        <v>5</v>
      </c>
      <c r="I54">
        <v>2</v>
      </c>
      <c r="J54">
        <v>62</v>
      </c>
      <c r="K54">
        <v>3</v>
      </c>
      <c r="L54">
        <v>25</v>
      </c>
      <c r="M54">
        <v>8</v>
      </c>
      <c r="N54">
        <v>172</v>
      </c>
    </row>
    <row r="55" spans="1:14" x14ac:dyDescent="0.2">
      <c r="A55" t="s">
        <v>0</v>
      </c>
      <c r="B55">
        <v>9</v>
      </c>
      <c r="C55">
        <v>74</v>
      </c>
      <c r="D55">
        <v>5</v>
      </c>
      <c r="E55">
        <v>85</v>
      </c>
      <c r="F55">
        <v>1</v>
      </c>
      <c r="G55">
        <v>23</v>
      </c>
      <c r="H55">
        <v>9</v>
      </c>
      <c r="I55">
        <v>1</v>
      </c>
      <c r="J55">
        <v>61</v>
      </c>
      <c r="K55">
        <v>4</v>
      </c>
      <c r="L55">
        <v>21</v>
      </c>
      <c r="M55">
        <v>4</v>
      </c>
      <c r="N55">
        <v>163</v>
      </c>
    </row>
    <row r="56" spans="1:14" x14ac:dyDescent="0.2">
      <c r="A56" t="s">
        <v>61</v>
      </c>
      <c r="B56">
        <f>SUBTOTAL(109,Table135[ASD])</f>
        <v>136</v>
      </c>
      <c r="C56">
        <f>SUBTOTAL(109,Table135[BESD])</f>
        <v>785</v>
      </c>
      <c r="D56">
        <f>SUBTOTAL(109,Table135[HI])</f>
        <v>107</v>
      </c>
      <c r="E56">
        <f>SUBTOTAL(109,Table135[MLD])</f>
        <v>1132</v>
      </c>
      <c r="F56">
        <f>SUBTOTAL(109,Table135[MSI])</f>
        <v>6</v>
      </c>
      <c r="G56">
        <f>SUBTOTAL(109,Table135[OTH])</f>
        <v>229</v>
      </c>
      <c r="H56">
        <f>SUBTOTAL(109,Table135[PD])</f>
        <v>122</v>
      </c>
      <c r="I56">
        <f>SUBTOTAL(109,Table135[PMLD])</f>
        <v>9</v>
      </c>
      <c r="J56">
        <f>SUBTOTAL(109,Table135[SLCN])</f>
        <v>803</v>
      </c>
      <c r="K56">
        <f>SUBTOTAL(109,Table135[SLD])</f>
        <v>32</v>
      </c>
      <c r="L56">
        <f>SUBTOTAL(109,Table135[SPLD])</f>
        <v>292</v>
      </c>
      <c r="M56">
        <f>SUBTOTAL(109,Table135[VI])</f>
        <v>64</v>
      </c>
      <c r="N56">
        <f>SUBTOTAL(109,Table135[Grand Total])</f>
        <v>2259</v>
      </c>
    </row>
  </sheetData>
  <mergeCells count="8">
    <mergeCell ref="H6:K6"/>
    <mergeCell ref="L6:O6"/>
    <mergeCell ref="B7:C7"/>
    <mergeCell ref="D7:E7"/>
    <mergeCell ref="H7:I7"/>
    <mergeCell ref="J7:K7"/>
    <mergeCell ref="L7:M7"/>
    <mergeCell ref="N7:O7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B9" sqref="B9:C9"/>
    </sheetView>
  </sheetViews>
  <sheetFormatPr defaultRowHeight="12.75" x14ac:dyDescent="0.2"/>
  <cols>
    <col min="2" max="15" width="11.28515625" customWidth="1"/>
  </cols>
  <sheetData>
    <row r="1" spans="1:15" ht="18" x14ac:dyDescent="0.25">
      <c r="A1" s="54" t="s">
        <v>65</v>
      </c>
    </row>
    <row r="4" spans="1:15" x14ac:dyDescent="0.2">
      <c r="A4" t="s">
        <v>56</v>
      </c>
    </row>
    <row r="5" spans="1:15" ht="13.5" thickBot="1" x14ac:dyDescent="0.25"/>
    <row r="6" spans="1:15" ht="13.5" thickBot="1" x14ac:dyDescent="0.25">
      <c r="H6" s="58" t="s">
        <v>43</v>
      </c>
      <c r="I6" s="59"/>
      <c r="J6" s="59"/>
      <c r="K6" s="60"/>
      <c r="L6" s="58" t="s">
        <v>44</v>
      </c>
      <c r="M6" s="59"/>
      <c r="N6" s="59"/>
      <c r="O6" s="60"/>
    </row>
    <row r="7" spans="1:15" x14ac:dyDescent="0.2">
      <c r="B7" s="61" t="s">
        <v>43</v>
      </c>
      <c r="C7" s="62"/>
      <c r="D7" s="63" t="s">
        <v>44</v>
      </c>
      <c r="E7" s="62"/>
      <c r="H7" s="64" t="s">
        <v>62</v>
      </c>
      <c r="I7" s="65"/>
      <c r="J7" s="65" t="s">
        <v>63</v>
      </c>
      <c r="K7" s="66"/>
      <c r="L7" s="64" t="s">
        <v>62</v>
      </c>
      <c r="M7" s="65"/>
      <c r="N7" s="65" t="s">
        <v>63</v>
      </c>
      <c r="O7" s="66"/>
    </row>
    <row r="8" spans="1:15" ht="13.5" thickBot="1" x14ac:dyDescent="0.25">
      <c r="B8" s="25" t="s">
        <v>41</v>
      </c>
      <c r="C8" s="26" t="s">
        <v>42</v>
      </c>
      <c r="D8" s="27" t="s">
        <v>41</v>
      </c>
      <c r="E8" s="26" t="s">
        <v>42</v>
      </c>
      <c r="H8" s="22" t="s">
        <v>41</v>
      </c>
      <c r="I8" s="23" t="s">
        <v>42</v>
      </c>
      <c r="J8" s="23" t="s">
        <v>41</v>
      </c>
      <c r="K8" s="24" t="s">
        <v>42</v>
      </c>
      <c r="L8" s="22" t="s">
        <v>41</v>
      </c>
      <c r="M8" s="23" t="s">
        <v>42</v>
      </c>
      <c r="N8" s="23" t="s">
        <v>41</v>
      </c>
      <c r="O8" s="24" t="s">
        <v>42</v>
      </c>
    </row>
    <row r="9" spans="1:15" x14ac:dyDescent="0.2">
      <c r="A9" s="36" t="s">
        <v>39</v>
      </c>
      <c r="B9" s="28">
        <f>SUM(H9,J9)</f>
        <v>24</v>
      </c>
      <c r="C9" s="29">
        <f t="shared" ref="C9:C20" si="0">SUM(I9,K9)</f>
        <v>15</v>
      </c>
      <c r="D9" s="28">
        <f>SUM(L9,N9)</f>
        <v>26</v>
      </c>
      <c r="E9" s="29">
        <f t="shared" ref="E9:E20" si="1">SUM(M9,O9)</f>
        <v>25</v>
      </c>
      <c r="G9" s="40" t="s">
        <v>39</v>
      </c>
      <c r="H9" s="51">
        <v>24</v>
      </c>
      <c r="I9" s="52">
        <v>13</v>
      </c>
      <c r="J9" s="49"/>
      <c r="K9" s="48">
        <v>2</v>
      </c>
      <c r="L9" s="51">
        <v>23</v>
      </c>
      <c r="M9" s="52">
        <v>22</v>
      </c>
      <c r="N9" s="53">
        <v>3</v>
      </c>
      <c r="O9" s="7">
        <v>3</v>
      </c>
    </row>
    <row r="10" spans="1:15" x14ac:dyDescent="0.2">
      <c r="A10" s="37" t="s">
        <v>33</v>
      </c>
      <c r="B10" s="30">
        <f t="shared" ref="B10:B20" si="2">SUM(H10,J10)</f>
        <v>358</v>
      </c>
      <c r="C10" s="4">
        <f t="shared" si="0"/>
        <v>354</v>
      </c>
      <c r="D10" s="30">
        <f t="shared" ref="D10:D20" si="3">SUM(L10,N10)</f>
        <v>395</v>
      </c>
      <c r="E10" s="4">
        <f t="shared" si="1"/>
        <v>330</v>
      </c>
      <c r="G10" s="41" t="s">
        <v>33</v>
      </c>
      <c r="H10" s="44">
        <v>297</v>
      </c>
      <c r="I10" s="45">
        <v>246</v>
      </c>
      <c r="J10" s="43">
        <v>61</v>
      </c>
      <c r="K10" s="45">
        <v>108</v>
      </c>
      <c r="L10" s="44">
        <v>338</v>
      </c>
      <c r="M10" s="45">
        <v>226</v>
      </c>
      <c r="N10" s="32">
        <v>57</v>
      </c>
      <c r="O10" s="4">
        <v>104</v>
      </c>
    </row>
    <row r="11" spans="1:15" x14ac:dyDescent="0.2">
      <c r="A11" s="37" t="s">
        <v>35</v>
      </c>
      <c r="B11" s="30">
        <f t="shared" si="2"/>
        <v>43</v>
      </c>
      <c r="C11" s="4">
        <f t="shared" si="0"/>
        <v>46</v>
      </c>
      <c r="D11" s="30">
        <f t="shared" si="3"/>
        <v>40</v>
      </c>
      <c r="E11" s="4">
        <f t="shared" si="1"/>
        <v>47</v>
      </c>
      <c r="G11" s="41" t="s">
        <v>35</v>
      </c>
      <c r="H11" s="44">
        <v>27</v>
      </c>
      <c r="I11" s="45">
        <v>21</v>
      </c>
      <c r="J11" s="43">
        <v>16</v>
      </c>
      <c r="K11" s="45">
        <v>25</v>
      </c>
      <c r="L11" s="44">
        <v>26</v>
      </c>
      <c r="M11" s="45">
        <v>23</v>
      </c>
      <c r="N11" s="32">
        <v>14</v>
      </c>
      <c r="O11" s="4">
        <v>24</v>
      </c>
    </row>
    <row r="12" spans="1:15" x14ac:dyDescent="0.2">
      <c r="A12" s="37" t="s">
        <v>30</v>
      </c>
      <c r="B12" s="30">
        <f t="shared" si="2"/>
        <v>593</v>
      </c>
      <c r="C12" s="4">
        <f t="shared" si="0"/>
        <v>470</v>
      </c>
      <c r="D12" s="30">
        <f t="shared" si="3"/>
        <v>676</v>
      </c>
      <c r="E12" s="4">
        <f t="shared" si="1"/>
        <v>372</v>
      </c>
      <c r="G12" s="41" t="s">
        <v>30</v>
      </c>
      <c r="H12" s="44">
        <v>395</v>
      </c>
      <c r="I12" s="45">
        <v>292</v>
      </c>
      <c r="J12" s="43">
        <v>198</v>
      </c>
      <c r="K12" s="45">
        <v>178</v>
      </c>
      <c r="L12" s="44">
        <v>435</v>
      </c>
      <c r="M12" s="45">
        <v>229</v>
      </c>
      <c r="N12" s="32">
        <v>241</v>
      </c>
      <c r="O12" s="4">
        <v>143</v>
      </c>
    </row>
    <row r="13" spans="1:15" x14ac:dyDescent="0.2">
      <c r="A13" s="37" t="s">
        <v>37</v>
      </c>
      <c r="B13" s="30">
        <f t="shared" si="2"/>
        <v>1</v>
      </c>
      <c r="C13" s="4">
        <f t="shared" si="0"/>
        <v>6</v>
      </c>
      <c r="D13" s="30">
        <f t="shared" si="3"/>
        <v>1</v>
      </c>
      <c r="E13" s="4">
        <f t="shared" si="1"/>
        <v>4</v>
      </c>
      <c r="G13" s="41" t="s">
        <v>37</v>
      </c>
      <c r="H13" s="44"/>
      <c r="I13" s="45">
        <v>4</v>
      </c>
      <c r="J13" s="43">
        <v>1</v>
      </c>
      <c r="K13" s="45">
        <v>2</v>
      </c>
      <c r="L13" s="44">
        <v>1</v>
      </c>
      <c r="M13" s="45">
        <v>2</v>
      </c>
      <c r="N13" s="32"/>
      <c r="O13" s="4">
        <v>2</v>
      </c>
    </row>
    <row r="14" spans="1:15" x14ac:dyDescent="0.2">
      <c r="A14" s="37" t="s">
        <v>58</v>
      </c>
      <c r="B14" s="30">
        <f t="shared" si="2"/>
        <v>50</v>
      </c>
      <c r="C14" s="4">
        <f t="shared" si="0"/>
        <v>141</v>
      </c>
      <c r="D14" s="30">
        <f t="shared" si="3"/>
        <v>58</v>
      </c>
      <c r="E14" s="4">
        <f t="shared" si="1"/>
        <v>147</v>
      </c>
      <c r="G14" s="41" t="s">
        <v>58</v>
      </c>
      <c r="H14" s="44">
        <v>31</v>
      </c>
      <c r="I14" s="45">
        <v>89</v>
      </c>
      <c r="J14" s="43">
        <v>19</v>
      </c>
      <c r="K14" s="45">
        <v>52</v>
      </c>
      <c r="L14" s="44">
        <v>34</v>
      </c>
      <c r="M14" s="45">
        <v>80</v>
      </c>
      <c r="N14" s="32">
        <v>24</v>
      </c>
      <c r="O14" s="4">
        <v>67</v>
      </c>
    </row>
    <row r="15" spans="1:15" x14ac:dyDescent="0.2">
      <c r="A15" s="37" t="s">
        <v>38</v>
      </c>
      <c r="B15" s="30">
        <f t="shared" si="2"/>
        <v>41</v>
      </c>
      <c r="C15" s="4">
        <f t="shared" si="0"/>
        <v>27</v>
      </c>
      <c r="D15" s="30">
        <f t="shared" si="3"/>
        <v>38</v>
      </c>
      <c r="E15" s="4">
        <f t="shared" si="1"/>
        <v>28</v>
      </c>
      <c r="G15" s="41" t="s">
        <v>38</v>
      </c>
      <c r="H15" s="44">
        <v>22</v>
      </c>
      <c r="I15" s="45">
        <v>19</v>
      </c>
      <c r="J15" s="43">
        <v>19</v>
      </c>
      <c r="K15" s="45">
        <v>8</v>
      </c>
      <c r="L15" s="44">
        <v>19</v>
      </c>
      <c r="M15" s="45">
        <v>19</v>
      </c>
      <c r="N15" s="32">
        <v>19</v>
      </c>
      <c r="O15" s="4">
        <v>9</v>
      </c>
    </row>
    <row r="16" spans="1:15" x14ac:dyDescent="0.2">
      <c r="A16" s="37" t="s">
        <v>32</v>
      </c>
      <c r="B16" s="30">
        <f t="shared" si="2"/>
        <v>5</v>
      </c>
      <c r="C16" s="4">
        <f t="shared" si="0"/>
        <v>0</v>
      </c>
      <c r="D16" s="30">
        <f t="shared" si="3"/>
        <v>1</v>
      </c>
      <c r="E16" s="4">
        <f t="shared" si="1"/>
        <v>0</v>
      </c>
      <c r="G16" s="41" t="s">
        <v>32</v>
      </c>
      <c r="H16" s="44">
        <v>3</v>
      </c>
      <c r="I16" s="45"/>
      <c r="J16" s="43">
        <v>2</v>
      </c>
      <c r="K16" s="45"/>
      <c r="L16" s="44">
        <v>1</v>
      </c>
      <c r="M16" s="45"/>
      <c r="N16" s="32"/>
      <c r="O16" s="4"/>
    </row>
    <row r="17" spans="1:17" x14ac:dyDescent="0.2">
      <c r="A17" s="37" t="s">
        <v>34</v>
      </c>
      <c r="B17" s="30">
        <f t="shared" si="2"/>
        <v>512</v>
      </c>
      <c r="C17" s="4">
        <f t="shared" si="0"/>
        <v>103</v>
      </c>
      <c r="D17" s="30">
        <f t="shared" si="3"/>
        <v>577</v>
      </c>
      <c r="E17" s="4">
        <f t="shared" si="1"/>
        <v>114</v>
      </c>
      <c r="G17" s="41" t="s">
        <v>34</v>
      </c>
      <c r="H17" s="44">
        <v>377</v>
      </c>
      <c r="I17" s="45">
        <v>74</v>
      </c>
      <c r="J17" s="43">
        <v>135</v>
      </c>
      <c r="K17" s="45">
        <v>29</v>
      </c>
      <c r="L17" s="44">
        <v>412</v>
      </c>
      <c r="M17" s="45">
        <v>83</v>
      </c>
      <c r="N17" s="32">
        <v>165</v>
      </c>
      <c r="O17" s="4">
        <v>31</v>
      </c>
    </row>
    <row r="18" spans="1:17" x14ac:dyDescent="0.2">
      <c r="A18" s="37" t="s">
        <v>31</v>
      </c>
      <c r="B18" s="30">
        <f t="shared" si="2"/>
        <v>7</v>
      </c>
      <c r="C18" s="4">
        <f t="shared" si="0"/>
        <v>3</v>
      </c>
      <c r="D18" s="30">
        <f t="shared" si="3"/>
        <v>5</v>
      </c>
      <c r="E18" s="4">
        <f t="shared" si="1"/>
        <v>2</v>
      </c>
      <c r="G18" s="41" t="s">
        <v>31</v>
      </c>
      <c r="H18" s="44">
        <v>4</v>
      </c>
      <c r="I18" s="45">
        <v>2</v>
      </c>
      <c r="J18" s="43">
        <v>3</v>
      </c>
      <c r="K18" s="45">
        <v>1</v>
      </c>
      <c r="L18" s="44">
        <v>4</v>
      </c>
      <c r="M18" s="45">
        <v>1</v>
      </c>
      <c r="N18" s="32">
        <v>1</v>
      </c>
      <c r="O18" s="4">
        <v>1</v>
      </c>
    </row>
    <row r="19" spans="1:17" x14ac:dyDescent="0.2">
      <c r="A19" s="37" t="s">
        <v>59</v>
      </c>
      <c r="B19" s="30">
        <f t="shared" si="2"/>
        <v>97</v>
      </c>
      <c r="C19" s="4">
        <f t="shared" si="0"/>
        <v>167</v>
      </c>
      <c r="D19" s="30">
        <f t="shared" si="3"/>
        <v>105</v>
      </c>
      <c r="E19" s="4">
        <f t="shared" si="1"/>
        <v>162</v>
      </c>
      <c r="G19" s="41" t="s">
        <v>59</v>
      </c>
      <c r="H19" s="44">
        <v>74</v>
      </c>
      <c r="I19" s="45">
        <v>128</v>
      </c>
      <c r="J19" s="43">
        <v>23</v>
      </c>
      <c r="K19" s="45">
        <v>39</v>
      </c>
      <c r="L19" s="44">
        <v>68</v>
      </c>
      <c r="M19" s="45">
        <v>120</v>
      </c>
      <c r="N19" s="32">
        <v>37</v>
      </c>
      <c r="O19" s="4">
        <v>42</v>
      </c>
    </row>
    <row r="20" spans="1:17" ht="13.5" thickBot="1" x14ac:dyDescent="0.25">
      <c r="A20" s="38" t="s">
        <v>36</v>
      </c>
      <c r="B20" s="31">
        <f t="shared" si="2"/>
        <v>31</v>
      </c>
      <c r="C20" s="1">
        <f t="shared" si="0"/>
        <v>22</v>
      </c>
      <c r="D20" s="31">
        <f t="shared" si="3"/>
        <v>34</v>
      </c>
      <c r="E20" s="1">
        <f t="shared" si="1"/>
        <v>17</v>
      </c>
      <c r="G20" s="42" t="s">
        <v>36</v>
      </c>
      <c r="H20" s="46">
        <v>21</v>
      </c>
      <c r="I20" s="47">
        <v>10</v>
      </c>
      <c r="J20" s="50">
        <v>10</v>
      </c>
      <c r="K20" s="47">
        <v>12</v>
      </c>
      <c r="L20" s="46">
        <v>25</v>
      </c>
      <c r="M20" s="47">
        <v>12</v>
      </c>
      <c r="N20" s="33">
        <v>9</v>
      </c>
      <c r="O20" s="1">
        <v>5</v>
      </c>
    </row>
    <row r="25" spans="1:17" x14ac:dyDescent="0.2">
      <c r="A25" s="35" t="s">
        <v>43</v>
      </c>
    </row>
    <row r="26" spans="1:17" x14ac:dyDescent="0.2">
      <c r="A26" t="s">
        <v>57</v>
      </c>
      <c r="B26" t="s">
        <v>39</v>
      </c>
      <c r="C26" t="s">
        <v>33</v>
      </c>
      <c r="D26" t="s">
        <v>35</v>
      </c>
      <c r="E26" t="s">
        <v>30</v>
      </c>
      <c r="F26" t="s">
        <v>37</v>
      </c>
      <c r="G26" t="s">
        <v>58</v>
      </c>
      <c r="H26" t="s">
        <v>38</v>
      </c>
      <c r="I26" t="s">
        <v>32</v>
      </c>
      <c r="J26" t="s">
        <v>34</v>
      </c>
      <c r="K26" t="s">
        <v>31</v>
      </c>
      <c r="L26" t="s">
        <v>59</v>
      </c>
      <c r="M26" t="s">
        <v>36</v>
      </c>
      <c r="N26" t="s">
        <v>60</v>
      </c>
      <c r="P26" s="34" t="s">
        <v>39</v>
      </c>
      <c r="Q26" s="34" t="s">
        <v>55</v>
      </c>
    </row>
    <row r="27" spans="1:17" x14ac:dyDescent="0.2">
      <c r="A27" t="s">
        <v>11</v>
      </c>
      <c r="B27">
        <v>1</v>
      </c>
      <c r="C27">
        <v>50</v>
      </c>
      <c r="D27">
        <v>11</v>
      </c>
      <c r="E27">
        <v>79</v>
      </c>
      <c r="F27">
        <v>1</v>
      </c>
      <c r="G27">
        <v>18</v>
      </c>
      <c r="H27">
        <v>6</v>
      </c>
      <c r="J27">
        <v>46</v>
      </c>
      <c r="K27">
        <v>2</v>
      </c>
      <c r="L27">
        <v>18</v>
      </c>
      <c r="M27">
        <v>6</v>
      </c>
      <c r="N27">
        <v>238</v>
      </c>
      <c r="P27" s="34" t="s">
        <v>33</v>
      </c>
      <c r="Q27" s="34" t="s">
        <v>49</v>
      </c>
    </row>
    <row r="28" spans="1:17" x14ac:dyDescent="0.2">
      <c r="A28" t="s">
        <v>10</v>
      </c>
      <c r="B28">
        <v>2</v>
      </c>
      <c r="C28">
        <v>51</v>
      </c>
      <c r="D28">
        <v>8</v>
      </c>
      <c r="E28">
        <v>75</v>
      </c>
      <c r="G28">
        <v>11</v>
      </c>
      <c r="H28">
        <v>12</v>
      </c>
      <c r="J28">
        <v>44</v>
      </c>
      <c r="L28">
        <v>29</v>
      </c>
      <c r="N28">
        <v>232</v>
      </c>
      <c r="P28" s="34" t="s">
        <v>35</v>
      </c>
      <c r="Q28" s="34" t="s">
        <v>51</v>
      </c>
    </row>
    <row r="29" spans="1:17" x14ac:dyDescent="0.2">
      <c r="A29" t="s">
        <v>9</v>
      </c>
      <c r="B29">
        <v>4</v>
      </c>
      <c r="C29">
        <v>52</v>
      </c>
      <c r="D29">
        <v>9</v>
      </c>
      <c r="E29">
        <v>93</v>
      </c>
      <c r="F29">
        <v>2</v>
      </c>
      <c r="G29">
        <v>15</v>
      </c>
      <c r="H29">
        <v>4</v>
      </c>
      <c r="J29">
        <v>43</v>
      </c>
      <c r="K29">
        <v>2</v>
      </c>
      <c r="L29">
        <v>27</v>
      </c>
      <c r="M29">
        <v>4</v>
      </c>
      <c r="N29">
        <v>255</v>
      </c>
      <c r="P29" s="34" t="s">
        <v>30</v>
      </c>
      <c r="Q29" s="34" t="s">
        <v>46</v>
      </c>
    </row>
    <row r="30" spans="1:17" x14ac:dyDescent="0.2">
      <c r="A30" t="s">
        <v>8</v>
      </c>
      <c r="B30">
        <v>4</v>
      </c>
      <c r="C30">
        <v>58</v>
      </c>
      <c r="D30">
        <v>8</v>
      </c>
      <c r="E30">
        <v>87</v>
      </c>
      <c r="G30">
        <v>10</v>
      </c>
      <c r="H30">
        <v>3</v>
      </c>
      <c r="I30">
        <v>1</v>
      </c>
      <c r="J30">
        <v>50</v>
      </c>
      <c r="L30">
        <v>17</v>
      </c>
      <c r="M30">
        <v>3</v>
      </c>
      <c r="N30">
        <v>241</v>
      </c>
      <c r="P30" s="34" t="s">
        <v>37</v>
      </c>
      <c r="Q30" s="34" t="s">
        <v>54</v>
      </c>
    </row>
    <row r="31" spans="1:17" x14ac:dyDescent="0.2">
      <c r="A31" t="s">
        <v>7</v>
      </c>
      <c r="B31">
        <v>2</v>
      </c>
      <c r="C31">
        <v>63</v>
      </c>
      <c r="D31">
        <v>3</v>
      </c>
      <c r="E31">
        <v>120</v>
      </c>
      <c r="F31">
        <v>1</v>
      </c>
      <c r="G31">
        <v>17</v>
      </c>
      <c r="H31">
        <v>7</v>
      </c>
      <c r="I31">
        <v>1</v>
      </c>
      <c r="J31">
        <v>61</v>
      </c>
      <c r="K31">
        <v>1</v>
      </c>
      <c r="L31">
        <v>25</v>
      </c>
      <c r="M31">
        <v>5</v>
      </c>
      <c r="N31">
        <v>306</v>
      </c>
      <c r="P31" s="39" t="s">
        <v>58</v>
      </c>
      <c r="Q31" s="39" t="s">
        <v>40</v>
      </c>
    </row>
    <row r="32" spans="1:17" x14ac:dyDescent="0.2">
      <c r="A32" t="s">
        <v>6</v>
      </c>
      <c r="B32">
        <v>1</v>
      </c>
      <c r="C32">
        <v>57</v>
      </c>
      <c r="D32">
        <v>8</v>
      </c>
      <c r="E32">
        <v>100</v>
      </c>
      <c r="G32">
        <v>22</v>
      </c>
      <c r="H32">
        <v>3</v>
      </c>
      <c r="J32">
        <v>58</v>
      </c>
      <c r="L32">
        <v>23</v>
      </c>
      <c r="M32">
        <v>7</v>
      </c>
      <c r="N32">
        <v>279</v>
      </c>
      <c r="P32" s="34" t="s">
        <v>38</v>
      </c>
      <c r="Q32" s="34" t="s">
        <v>53</v>
      </c>
    </row>
    <row r="33" spans="1:17" x14ac:dyDescent="0.2">
      <c r="A33" t="s">
        <v>5</v>
      </c>
      <c r="B33">
        <v>6</v>
      </c>
      <c r="C33">
        <v>60</v>
      </c>
      <c r="D33">
        <v>5</v>
      </c>
      <c r="E33">
        <v>125</v>
      </c>
      <c r="G33">
        <v>18</v>
      </c>
      <c r="H33">
        <v>6</v>
      </c>
      <c r="J33">
        <v>71</v>
      </c>
      <c r="L33">
        <v>26</v>
      </c>
      <c r="M33">
        <v>3</v>
      </c>
      <c r="N33">
        <v>320</v>
      </c>
      <c r="P33" s="34" t="s">
        <v>32</v>
      </c>
      <c r="Q33" s="34" t="s">
        <v>48</v>
      </c>
    </row>
    <row r="34" spans="1:17" x14ac:dyDescent="0.2">
      <c r="A34" t="s">
        <v>4</v>
      </c>
      <c r="B34">
        <v>5</v>
      </c>
      <c r="C34">
        <v>65</v>
      </c>
      <c r="D34">
        <v>11</v>
      </c>
      <c r="E34">
        <v>118</v>
      </c>
      <c r="G34">
        <v>17</v>
      </c>
      <c r="H34">
        <v>4</v>
      </c>
      <c r="I34">
        <v>1</v>
      </c>
      <c r="J34">
        <v>66</v>
      </c>
      <c r="K34">
        <v>3</v>
      </c>
      <c r="L34">
        <v>26</v>
      </c>
      <c r="M34">
        <v>4</v>
      </c>
      <c r="N34">
        <v>320</v>
      </c>
      <c r="P34" s="34" t="s">
        <v>34</v>
      </c>
      <c r="Q34" s="34" t="s">
        <v>50</v>
      </c>
    </row>
    <row r="35" spans="1:17" x14ac:dyDescent="0.2">
      <c r="A35" t="s">
        <v>3</v>
      </c>
      <c r="B35">
        <v>2</v>
      </c>
      <c r="C35">
        <v>75</v>
      </c>
      <c r="D35">
        <v>7</v>
      </c>
      <c r="E35">
        <v>61</v>
      </c>
      <c r="F35">
        <v>2</v>
      </c>
      <c r="G35">
        <v>10</v>
      </c>
      <c r="H35">
        <v>7</v>
      </c>
      <c r="J35">
        <v>50</v>
      </c>
      <c r="K35">
        <v>1</v>
      </c>
      <c r="L35">
        <v>17</v>
      </c>
      <c r="M35">
        <v>7</v>
      </c>
      <c r="N35">
        <v>239</v>
      </c>
      <c r="P35" s="34" t="s">
        <v>31</v>
      </c>
      <c r="Q35" s="34" t="s">
        <v>47</v>
      </c>
    </row>
    <row r="36" spans="1:17" x14ac:dyDescent="0.2">
      <c r="A36" t="s">
        <v>2</v>
      </c>
      <c r="B36">
        <v>6</v>
      </c>
      <c r="C36">
        <v>64</v>
      </c>
      <c r="D36">
        <v>9</v>
      </c>
      <c r="E36">
        <v>59</v>
      </c>
      <c r="G36">
        <v>18</v>
      </c>
      <c r="H36">
        <v>7</v>
      </c>
      <c r="J36">
        <v>40</v>
      </c>
      <c r="L36">
        <v>18</v>
      </c>
      <c r="M36">
        <v>7</v>
      </c>
      <c r="N36">
        <v>228</v>
      </c>
      <c r="P36" s="34" t="s">
        <v>29</v>
      </c>
      <c r="Q36" s="34" t="s">
        <v>45</v>
      </c>
    </row>
    <row r="37" spans="1:17" x14ac:dyDescent="0.2">
      <c r="A37" t="s">
        <v>1</v>
      </c>
      <c r="B37">
        <v>4</v>
      </c>
      <c r="C37">
        <v>56</v>
      </c>
      <c r="D37">
        <v>5</v>
      </c>
      <c r="E37">
        <v>73</v>
      </c>
      <c r="G37">
        <v>15</v>
      </c>
      <c r="H37">
        <v>3</v>
      </c>
      <c r="I37">
        <v>1</v>
      </c>
      <c r="J37">
        <v>42</v>
      </c>
      <c r="L37">
        <v>19</v>
      </c>
      <c r="M37">
        <v>2</v>
      </c>
      <c r="N37">
        <v>220</v>
      </c>
      <c r="P37" s="34" t="s">
        <v>36</v>
      </c>
      <c r="Q37" s="34" t="s">
        <v>52</v>
      </c>
    </row>
    <row r="38" spans="1:17" x14ac:dyDescent="0.2">
      <c r="A38" t="s">
        <v>0</v>
      </c>
      <c r="B38">
        <v>2</v>
      </c>
      <c r="C38">
        <v>61</v>
      </c>
      <c r="D38">
        <v>5</v>
      </c>
      <c r="E38">
        <v>73</v>
      </c>
      <c r="F38">
        <v>1</v>
      </c>
      <c r="G38">
        <v>20</v>
      </c>
      <c r="H38">
        <v>6</v>
      </c>
      <c r="I38">
        <v>1</v>
      </c>
      <c r="J38">
        <v>44</v>
      </c>
      <c r="K38">
        <v>1</v>
      </c>
      <c r="L38">
        <v>19</v>
      </c>
      <c r="M38">
        <v>5</v>
      </c>
      <c r="N38">
        <v>238</v>
      </c>
    </row>
    <row r="39" spans="1:17" x14ac:dyDescent="0.2">
      <c r="A39" t="s">
        <v>61</v>
      </c>
      <c r="B39">
        <f>SUBTOTAL(109,Table142[ASD])</f>
        <v>39</v>
      </c>
      <c r="C39">
        <f>SUBTOTAL(109,Table142[BESD])</f>
        <v>712</v>
      </c>
      <c r="D39">
        <f>SUBTOTAL(109,Table142[HI])</f>
        <v>89</v>
      </c>
      <c r="E39">
        <f>SUBTOTAL(109,Table142[MLD])</f>
        <v>1063</v>
      </c>
      <c r="F39">
        <f>SUBTOTAL(109,Table142[MSI])</f>
        <v>7</v>
      </c>
      <c r="G39">
        <f>SUBTOTAL(109,Table142[OTH])</f>
        <v>191</v>
      </c>
      <c r="H39">
        <f>SUBTOTAL(109,Table142[PD])</f>
        <v>68</v>
      </c>
      <c r="I39">
        <f>SUBTOTAL(109,Table142[PMLD])</f>
        <v>5</v>
      </c>
      <c r="J39">
        <f>SUBTOTAL(109,Table142[SLCN])</f>
        <v>615</v>
      </c>
      <c r="K39">
        <f>SUBTOTAL(109,Table142[SLD])</f>
        <v>10</v>
      </c>
      <c r="L39">
        <f>SUBTOTAL(109,Table142[SPLD])</f>
        <v>264</v>
      </c>
      <c r="M39">
        <f>SUBTOTAL(109,Table142[VI])</f>
        <v>53</v>
      </c>
      <c r="N39">
        <f>SUBTOTAL(109,Table142[Grand Total])</f>
        <v>3116</v>
      </c>
    </row>
    <row r="42" spans="1:17" x14ac:dyDescent="0.2">
      <c r="A42" s="35" t="s">
        <v>44</v>
      </c>
    </row>
    <row r="43" spans="1:17" x14ac:dyDescent="0.2">
      <c r="A43" t="s">
        <v>57</v>
      </c>
      <c r="B43" t="s">
        <v>39</v>
      </c>
      <c r="C43" t="s">
        <v>33</v>
      </c>
      <c r="D43" t="s">
        <v>35</v>
      </c>
      <c r="E43" t="s">
        <v>30</v>
      </c>
      <c r="F43" t="s">
        <v>37</v>
      </c>
      <c r="G43" t="s">
        <v>58</v>
      </c>
      <c r="H43" t="s">
        <v>38</v>
      </c>
      <c r="I43" t="s">
        <v>32</v>
      </c>
      <c r="J43" t="s">
        <v>34</v>
      </c>
      <c r="K43" t="s">
        <v>31</v>
      </c>
      <c r="L43" t="s">
        <v>59</v>
      </c>
      <c r="M43" t="s">
        <v>36</v>
      </c>
      <c r="N43" t="s">
        <v>60</v>
      </c>
    </row>
    <row r="44" spans="1:17" x14ac:dyDescent="0.2">
      <c r="A44" t="s">
        <v>11</v>
      </c>
      <c r="B44">
        <v>2</v>
      </c>
      <c r="C44">
        <v>51</v>
      </c>
      <c r="D44">
        <v>8</v>
      </c>
      <c r="E44">
        <v>62</v>
      </c>
      <c r="F44">
        <v>1</v>
      </c>
      <c r="G44">
        <v>25</v>
      </c>
      <c r="H44">
        <v>5</v>
      </c>
      <c r="J44">
        <v>58</v>
      </c>
      <c r="K44">
        <v>2</v>
      </c>
      <c r="L44">
        <v>21</v>
      </c>
      <c r="M44">
        <v>6</v>
      </c>
      <c r="N44">
        <v>241</v>
      </c>
    </row>
    <row r="45" spans="1:17" x14ac:dyDescent="0.2">
      <c r="A45" t="s">
        <v>10</v>
      </c>
      <c r="B45">
        <v>4</v>
      </c>
      <c r="C45">
        <v>51</v>
      </c>
      <c r="D45">
        <v>8</v>
      </c>
      <c r="E45">
        <v>74</v>
      </c>
      <c r="G45">
        <v>15</v>
      </c>
      <c r="H45">
        <v>11</v>
      </c>
      <c r="J45">
        <v>58</v>
      </c>
      <c r="K45">
        <v>1</v>
      </c>
      <c r="L45">
        <v>28</v>
      </c>
      <c r="N45">
        <v>250</v>
      </c>
    </row>
    <row r="46" spans="1:17" x14ac:dyDescent="0.2">
      <c r="A46" t="s">
        <v>9</v>
      </c>
      <c r="B46">
        <v>4</v>
      </c>
      <c r="C46">
        <v>55</v>
      </c>
      <c r="D46">
        <v>7</v>
      </c>
      <c r="E46">
        <v>78</v>
      </c>
      <c r="F46">
        <v>1</v>
      </c>
      <c r="G46">
        <v>16</v>
      </c>
      <c r="H46">
        <v>5</v>
      </c>
      <c r="J46">
        <v>43</v>
      </c>
      <c r="K46">
        <v>1</v>
      </c>
      <c r="L46">
        <v>27</v>
      </c>
      <c r="M46">
        <v>3</v>
      </c>
      <c r="N46">
        <v>240</v>
      </c>
    </row>
    <row r="47" spans="1:17" x14ac:dyDescent="0.2">
      <c r="A47" t="s">
        <v>8</v>
      </c>
      <c r="B47">
        <v>6</v>
      </c>
      <c r="C47">
        <v>53</v>
      </c>
      <c r="D47">
        <v>5</v>
      </c>
      <c r="E47">
        <v>106</v>
      </c>
      <c r="G47">
        <v>12</v>
      </c>
      <c r="H47">
        <v>1</v>
      </c>
      <c r="J47">
        <v>48</v>
      </c>
      <c r="L47">
        <v>15</v>
      </c>
      <c r="M47">
        <v>2</v>
      </c>
      <c r="N47">
        <v>248</v>
      </c>
    </row>
    <row r="48" spans="1:17" x14ac:dyDescent="0.2">
      <c r="A48" t="s">
        <v>7</v>
      </c>
      <c r="B48">
        <v>5</v>
      </c>
      <c r="C48">
        <v>69</v>
      </c>
      <c r="D48">
        <v>6</v>
      </c>
      <c r="E48">
        <v>105</v>
      </c>
      <c r="F48">
        <v>1</v>
      </c>
      <c r="G48">
        <v>21</v>
      </c>
      <c r="H48">
        <v>10</v>
      </c>
      <c r="J48">
        <v>75</v>
      </c>
      <c r="L48">
        <v>29</v>
      </c>
      <c r="M48">
        <v>2</v>
      </c>
      <c r="N48">
        <v>323</v>
      </c>
    </row>
    <row r="49" spans="1:14" x14ac:dyDescent="0.2">
      <c r="A49" t="s">
        <v>6</v>
      </c>
      <c r="B49">
        <v>2</v>
      </c>
      <c r="C49">
        <v>46</v>
      </c>
      <c r="D49">
        <v>6</v>
      </c>
      <c r="E49">
        <v>100</v>
      </c>
      <c r="G49">
        <v>18</v>
      </c>
      <c r="H49">
        <v>5</v>
      </c>
      <c r="J49">
        <v>70</v>
      </c>
      <c r="K49">
        <v>2</v>
      </c>
      <c r="L49">
        <v>17</v>
      </c>
      <c r="M49">
        <v>7</v>
      </c>
      <c r="N49">
        <v>273</v>
      </c>
    </row>
    <row r="50" spans="1:14" x14ac:dyDescent="0.2">
      <c r="A50" t="s">
        <v>5</v>
      </c>
      <c r="B50">
        <v>8</v>
      </c>
      <c r="C50">
        <v>68</v>
      </c>
      <c r="D50">
        <v>4</v>
      </c>
      <c r="E50">
        <v>127</v>
      </c>
      <c r="G50">
        <v>16</v>
      </c>
      <c r="H50">
        <v>7</v>
      </c>
      <c r="J50">
        <v>73</v>
      </c>
      <c r="L50">
        <v>30</v>
      </c>
      <c r="M50">
        <v>7</v>
      </c>
      <c r="N50">
        <v>340</v>
      </c>
    </row>
    <row r="51" spans="1:14" x14ac:dyDescent="0.2">
      <c r="A51" t="s">
        <v>4</v>
      </c>
      <c r="B51">
        <v>3</v>
      </c>
      <c r="C51">
        <v>63</v>
      </c>
      <c r="D51">
        <v>14</v>
      </c>
      <c r="E51">
        <v>124</v>
      </c>
      <c r="F51">
        <v>1</v>
      </c>
      <c r="G51">
        <v>19</v>
      </c>
      <c r="H51">
        <v>4</v>
      </c>
      <c r="J51">
        <v>72</v>
      </c>
      <c r="K51">
        <v>1</v>
      </c>
      <c r="L51">
        <v>26</v>
      </c>
      <c r="M51">
        <v>3</v>
      </c>
      <c r="N51">
        <v>330</v>
      </c>
    </row>
    <row r="52" spans="1:14" x14ac:dyDescent="0.2">
      <c r="A52" t="s">
        <v>3</v>
      </c>
      <c r="B52">
        <v>6</v>
      </c>
      <c r="C52">
        <v>76</v>
      </c>
      <c r="D52">
        <v>10</v>
      </c>
      <c r="E52">
        <v>54</v>
      </c>
      <c r="G52">
        <v>14</v>
      </c>
      <c r="H52">
        <v>4</v>
      </c>
      <c r="J52">
        <v>46</v>
      </c>
      <c r="L52">
        <v>16</v>
      </c>
      <c r="M52">
        <v>7</v>
      </c>
      <c r="N52">
        <v>233</v>
      </c>
    </row>
    <row r="53" spans="1:14" x14ac:dyDescent="0.2">
      <c r="A53" t="s">
        <v>2</v>
      </c>
      <c r="B53">
        <v>6</v>
      </c>
      <c r="C53">
        <v>72</v>
      </c>
      <c r="D53">
        <v>12</v>
      </c>
      <c r="E53">
        <v>73</v>
      </c>
      <c r="G53">
        <v>15</v>
      </c>
      <c r="H53">
        <v>5</v>
      </c>
      <c r="J53">
        <v>42</v>
      </c>
      <c r="L53">
        <v>16</v>
      </c>
      <c r="M53">
        <v>5</v>
      </c>
      <c r="N53">
        <v>246</v>
      </c>
    </row>
    <row r="54" spans="1:14" x14ac:dyDescent="0.2">
      <c r="A54" t="s">
        <v>1</v>
      </c>
      <c r="B54">
        <v>4</v>
      </c>
      <c r="C54">
        <v>54</v>
      </c>
      <c r="D54">
        <v>4</v>
      </c>
      <c r="E54">
        <v>69</v>
      </c>
      <c r="G54">
        <v>13</v>
      </c>
      <c r="H54">
        <v>3</v>
      </c>
      <c r="I54">
        <v>1</v>
      </c>
      <c r="J54">
        <v>51</v>
      </c>
      <c r="L54">
        <v>22</v>
      </c>
      <c r="M54">
        <v>6</v>
      </c>
      <c r="N54">
        <v>227</v>
      </c>
    </row>
    <row r="55" spans="1:14" x14ac:dyDescent="0.2">
      <c r="A55" t="s">
        <v>0</v>
      </c>
      <c r="B55">
        <v>1</v>
      </c>
      <c r="C55">
        <v>67</v>
      </c>
      <c r="D55">
        <v>3</v>
      </c>
      <c r="E55">
        <v>76</v>
      </c>
      <c r="F55">
        <v>1</v>
      </c>
      <c r="G55">
        <v>21</v>
      </c>
      <c r="H55">
        <v>6</v>
      </c>
      <c r="J55">
        <v>55</v>
      </c>
      <c r="L55">
        <v>20</v>
      </c>
      <c r="M55">
        <v>3</v>
      </c>
      <c r="N55">
        <v>253</v>
      </c>
    </row>
    <row r="56" spans="1:14" x14ac:dyDescent="0.2">
      <c r="A56" t="s">
        <v>61</v>
      </c>
      <c r="B56">
        <f>SUBTOTAL(109,Table1353[ASD])</f>
        <v>51</v>
      </c>
      <c r="C56">
        <f>SUBTOTAL(109,Table1353[BESD])</f>
        <v>725</v>
      </c>
      <c r="D56">
        <f>SUBTOTAL(109,Table1353[HI])</f>
        <v>87</v>
      </c>
      <c r="E56">
        <f>SUBTOTAL(109,Table1353[MLD])</f>
        <v>1048</v>
      </c>
      <c r="F56">
        <f>SUBTOTAL(109,Table1353[MSI])</f>
        <v>5</v>
      </c>
      <c r="G56">
        <f>SUBTOTAL(109,Table1353[OTH])</f>
        <v>205</v>
      </c>
      <c r="H56">
        <f>SUBTOTAL(109,Table1353[PD])</f>
        <v>66</v>
      </c>
      <c r="I56">
        <f>SUBTOTAL(109,Table1353[PMLD])</f>
        <v>1</v>
      </c>
      <c r="J56">
        <f>SUBTOTAL(109,Table1353[SLCN])</f>
        <v>691</v>
      </c>
      <c r="K56">
        <f>SUBTOTAL(109,Table1353[SLD])</f>
        <v>7</v>
      </c>
      <c r="L56">
        <f>SUBTOTAL(109,Table1353[SPLD])</f>
        <v>267</v>
      </c>
      <c r="M56">
        <f>SUBTOTAL(109,Table1353[VI])</f>
        <v>51</v>
      </c>
      <c r="N56">
        <f>SUBTOTAL(109,Table1353[Grand Total])</f>
        <v>3204</v>
      </c>
    </row>
  </sheetData>
  <mergeCells count="8">
    <mergeCell ref="H6:K6"/>
    <mergeCell ref="L6:O6"/>
    <mergeCell ref="B7:C7"/>
    <mergeCell ref="D7:E7"/>
    <mergeCell ref="H7:I7"/>
    <mergeCell ref="J7:K7"/>
    <mergeCell ref="L7:M7"/>
    <mergeCell ref="N7:O7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B9" sqref="B9:C9"/>
    </sheetView>
  </sheetViews>
  <sheetFormatPr defaultRowHeight="12.75" x14ac:dyDescent="0.2"/>
  <cols>
    <col min="2" max="15" width="11.28515625" customWidth="1"/>
  </cols>
  <sheetData>
    <row r="1" spans="1:15" ht="18" x14ac:dyDescent="0.25">
      <c r="A1" s="54" t="s">
        <v>64</v>
      </c>
    </row>
    <row r="4" spans="1:15" x14ac:dyDescent="0.2">
      <c r="A4" t="s">
        <v>56</v>
      </c>
    </row>
    <row r="5" spans="1:15" ht="13.5" thickBot="1" x14ac:dyDescent="0.25"/>
    <row r="6" spans="1:15" ht="13.5" thickBot="1" x14ac:dyDescent="0.25">
      <c r="H6" s="58" t="s">
        <v>43</v>
      </c>
      <c r="I6" s="59"/>
      <c r="J6" s="59"/>
      <c r="K6" s="60"/>
      <c r="L6" s="58" t="s">
        <v>44</v>
      </c>
      <c r="M6" s="59"/>
      <c r="N6" s="59"/>
      <c r="O6" s="60"/>
    </row>
    <row r="7" spans="1:15" x14ac:dyDescent="0.2">
      <c r="B7" s="61" t="s">
        <v>43</v>
      </c>
      <c r="C7" s="62"/>
      <c r="D7" s="63" t="s">
        <v>44</v>
      </c>
      <c r="E7" s="62"/>
      <c r="H7" s="64" t="s">
        <v>62</v>
      </c>
      <c r="I7" s="65"/>
      <c r="J7" s="65" t="s">
        <v>63</v>
      </c>
      <c r="K7" s="66"/>
      <c r="L7" s="64" t="s">
        <v>62</v>
      </c>
      <c r="M7" s="65"/>
      <c r="N7" s="65" t="s">
        <v>63</v>
      </c>
      <c r="O7" s="66"/>
    </row>
    <row r="8" spans="1:15" ht="13.5" thickBot="1" x14ac:dyDescent="0.25">
      <c r="B8" s="25" t="s">
        <v>41</v>
      </c>
      <c r="C8" s="26" t="s">
        <v>42</v>
      </c>
      <c r="D8" s="27" t="s">
        <v>41</v>
      </c>
      <c r="E8" s="26" t="s">
        <v>42</v>
      </c>
      <c r="H8" s="22" t="s">
        <v>41</v>
      </c>
      <c r="I8" s="23" t="s">
        <v>42</v>
      </c>
      <c r="J8" s="23" t="s">
        <v>41</v>
      </c>
      <c r="K8" s="24" t="s">
        <v>42</v>
      </c>
      <c r="L8" s="22" t="s">
        <v>41</v>
      </c>
      <c r="M8" s="23" t="s">
        <v>42</v>
      </c>
      <c r="N8" s="23" t="s">
        <v>41</v>
      </c>
      <c r="O8" s="24" t="s">
        <v>42</v>
      </c>
    </row>
    <row r="9" spans="1:15" x14ac:dyDescent="0.2">
      <c r="A9" s="36" t="s">
        <v>39</v>
      </c>
      <c r="B9" s="28">
        <f>SUM(H9,J9)</f>
        <v>49</v>
      </c>
      <c r="C9" s="29">
        <f t="shared" ref="C9:C20" si="0">SUM(I9,K9)</f>
        <v>29</v>
      </c>
      <c r="D9" s="28">
        <f>SUM(L9,N9)</f>
        <v>54</v>
      </c>
      <c r="E9" s="29">
        <f t="shared" ref="E9:E20" si="1">SUM(M9,O9)</f>
        <v>31</v>
      </c>
      <c r="G9" s="40" t="s">
        <v>39</v>
      </c>
      <c r="H9" s="51">
        <v>43</v>
      </c>
      <c r="I9" s="52">
        <v>25</v>
      </c>
      <c r="J9" s="49">
        <v>6</v>
      </c>
      <c r="K9" s="48">
        <v>4</v>
      </c>
      <c r="L9" s="51">
        <v>47</v>
      </c>
      <c r="M9" s="52">
        <v>26</v>
      </c>
      <c r="N9" s="53">
        <v>7</v>
      </c>
      <c r="O9" s="7">
        <v>5</v>
      </c>
    </row>
    <row r="10" spans="1:15" x14ac:dyDescent="0.2">
      <c r="A10" s="37" t="s">
        <v>33</v>
      </c>
      <c r="B10" s="30">
        <f t="shared" ref="B10:B20" si="2">SUM(H10,J10)</f>
        <v>48</v>
      </c>
      <c r="C10" s="4">
        <f t="shared" si="0"/>
        <v>33</v>
      </c>
      <c r="D10" s="30">
        <f t="shared" ref="D10:D20" si="3">SUM(L10,N10)</f>
        <v>35</v>
      </c>
      <c r="E10" s="4">
        <f t="shared" si="1"/>
        <v>25</v>
      </c>
      <c r="G10" s="41" t="s">
        <v>33</v>
      </c>
      <c r="H10" s="44">
        <v>42</v>
      </c>
      <c r="I10" s="45">
        <v>26</v>
      </c>
      <c r="J10" s="43">
        <v>6</v>
      </c>
      <c r="K10" s="45">
        <v>7</v>
      </c>
      <c r="L10" s="44">
        <v>29</v>
      </c>
      <c r="M10" s="45">
        <v>22</v>
      </c>
      <c r="N10" s="32">
        <v>6</v>
      </c>
      <c r="O10" s="4">
        <v>3</v>
      </c>
    </row>
    <row r="11" spans="1:15" x14ac:dyDescent="0.2">
      <c r="A11" s="37" t="s">
        <v>35</v>
      </c>
      <c r="B11" s="30">
        <f t="shared" si="2"/>
        <v>10</v>
      </c>
      <c r="C11" s="4">
        <f t="shared" si="0"/>
        <v>9</v>
      </c>
      <c r="D11" s="30">
        <f t="shared" si="3"/>
        <v>12</v>
      </c>
      <c r="E11" s="4">
        <f t="shared" si="1"/>
        <v>8</v>
      </c>
      <c r="G11" s="41" t="s">
        <v>35</v>
      </c>
      <c r="H11" s="44">
        <v>6</v>
      </c>
      <c r="I11" s="45">
        <v>3</v>
      </c>
      <c r="J11" s="43">
        <v>4</v>
      </c>
      <c r="K11" s="45">
        <v>6</v>
      </c>
      <c r="L11" s="44">
        <v>7</v>
      </c>
      <c r="M11" s="45">
        <v>3</v>
      </c>
      <c r="N11" s="32">
        <v>5</v>
      </c>
      <c r="O11" s="4">
        <v>5</v>
      </c>
    </row>
    <row r="12" spans="1:15" x14ac:dyDescent="0.2">
      <c r="A12" s="37" t="s">
        <v>30</v>
      </c>
      <c r="B12" s="30">
        <f t="shared" si="2"/>
        <v>55</v>
      </c>
      <c r="C12" s="4">
        <f t="shared" si="0"/>
        <v>58</v>
      </c>
      <c r="D12" s="30">
        <f t="shared" si="3"/>
        <v>37</v>
      </c>
      <c r="E12" s="4">
        <f t="shared" si="1"/>
        <v>47</v>
      </c>
      <c r="G12" s="41" t="s">
        <v>30</v>
      </c>
      <c r="H12" s="44">
        <v>41</v>
      </c>
      <c r="I12" s="45">
        <v>39</v>
      </c>
      <c r="J12" s="43">
        <v>14</v>
      </c>
      <c r="K12" s="45">
        <v>19</v>
      </c>
      <c r="L12" s="44">
        <v>28</v>
      </c>
      <c r="M12" s="45">
        <v>31</v>
      </c>
      <c r="N12" s="32">
        <v>9</v>
      </c>
      <c r="O12" s="4">
        <v>16</v>
      </c>
    </row>
    <row r="13" spans="1:15" x14ac:dyDescent="0.2">
      <c r="A13" s="37" t="s">
        <v>37</v>
      </c>
      <c r="B13" s="30">
        <f t="shared" si="2"/>
        <v>0</v>
      </c>
      <c r="C13" s="4">
        <f t="shared" si="0"/>
        <v>0</v>
      </c>
      <c r="D13" s="30">
        <f t="shared" si="3"/>
        <v>1</v>
      </c>
      <c r="E13" s="4">
        <f t="shared" si="1"/>
        <v>0</v>
      </c>
      <c r="G13" s="41" t="s">
        <v>37</v>
      </c>
      <c r="H13" s="44"/>
      <c r="I13" s="45"/>
      <c r="J13" s="43"/>
      <c r="K13" s="45"/>
      <c r="L13" s="44"/>
      <c r="M13" s="45"/>
      <c r="N13" s="32">
        <v>1</v>
      </c>
      <c r="O13" s="4"/>
    </row>
    <row r="14" spans="1:15" x14ac:dyDescent="0.2">
      <c r="A14" s="37" t="s">
        <v>58</v>
      </c>
      <c r="B14" s="30">
        <f t="shared" si="2"/>
        <v>8</v>
      </c>
      <c r="C14" s="4">
        <f t="shared" si="0"/>
        <v>13</v>
      </c>
      <c r="D14" s="30">
        <f t="shared" si="3"/>
        <v>8</v>
      </c>
      <c r="E14" s="4">
        <f t="shared" si="1"/>
        <v>16</v>
      </c>
      <c r="G14" s="41" t="s">
        <v>58</v>
      </c>
      <c r="H14" s="44">
        <v>5</v>
      </c>
      <c r="I14" s="45">
        <v>5</v>
      </c>
      <c r="J14" s="43">
        <v>3</v>
      </c>
      <c r="K14" s="45">
        <v>8</v>
      </c>
      <c r="L14" s="44">
        <v>5</v>
      </c>
      <c r="M14" s="45">
        <v>7</v>
      </c>
      <c r="N14" s="32">
        <v>3</v>
      </c>
      <c r="O14" s="4">
        <v>9</v>
      </c>
    </row>
    <row r="15" spans="1:15" x14ac:dyDescent="0.2">
      <c r="A15" s="37" t="s">
        <v>38</v>
      </c>
      <c r="B15" s="30">
        <f t="shared" si="2"/>
        <v>32</v>
      </c>
      <c r="C15" s="4">
        <f t="shared" si="0"/>
        <v>23</v>
      </c>
      <c r="D15" s="30">
        <f t="shared" si="3"/>
        <v>31</v>
      </c>
      <c r="E15" s="4">
        <f t="shared" si="1"/>
        <v>25</v>
      </c>
      <c r="G15" s="41" t="s">
        <v>38</v>
      </c>
      <c r="H15" s="44">
        <v>15</v>
      </c>
      <c r="I15" s="45">
        <v>10</v>
      </c>
      <c r="J15" s="43">
        <v>17</v>
      </c>
      <c r="K15" s="45">
        <v>13</v>
      </c>
      <c r="L15" s="44">
        <v>15</v>
      </c>
      <c r="M15" s="45">
        <v>12</v>
      </c>
      <c r="N15" s="32">
        <v>16</v>
      </c>
      <c r="O15" s="4">
        <v>13</v>
      </c>
    </row>
    <row r="16" spans="1:15" x14ac:dyDescent="0.2">
      <c r="A16" s="37" t="s">
        <v>32</v>
      </c>
      <c r="B16" s="30">
        <f t="shared" si="2"/>
        <v>7</v>
      </c>
      <c r="C16" s="4">
        <f t="shared" si="0"/>
        <v>0</v>
      </c>
      <c r="D16" s="30">
        <f t="shared" si="3"/>
        <v>8</v>
      </c>
      <c r="E16" s="4">
        <f t="shared" si="1"/>
        <v>0</v>
      </c>
      <c r="G16" s="41" t="s">
        <v>32</v>
      </c>
      <c r="H16" s="44">
        <v>3</v>
      </c>
      <c r="I16" s="45"/>
      <c r="J16" s="43">
        <v>4</v>
      </c>
      <c r="K16" s="45"/>
      <c r="L16" s="44">
        <v>4</v>
      </c>
      <c r="M16" s="45"/>
      <c r="N16" s="32">
        <v>4</v>
      </c>
      <c r="O16" s="4"/>
    </row>
    <row r="17" spans="1:17" x14ac:dyDescent="0.2">
      <c r="A17" s="37" t="s">
        <v>34</v>
      </c>
      <c r="B17" s="30">
        <f t="shared" si="2"/>
        <v>80</v>
      </c>
      <c r="C17" s="4">
        <f t="shared" si="0"/>
        <v>42</v>
      </c>
      <c r="D17" s="30">
        <f t="shared" si="3"/>
        <v>74</v>
      </c>
      <c r="E17" s="4">
        <f t="shared" si="1"/>
        <v>38</v>
      </c>
      <c r="G17" s="41" t="s">
        <v>34</v>
      </c>
      <c r="H17" s="44">
        <v>60</v>
      </c>
      <c r="I17" s="45">
        <v>32</v>
      </c>
      <c r="J17" s="43">
        <v>20</v>
      </c>
      <c r="K17" s="45">
        <v>10</v>
      </c>
      <c r="L17" s="44">
        <v>54</v>
      </c>
      <c r="M17" s="45">
        <v>29</v>
      </c>
      <c r="N17" s="32">
        <v>20</v>
      </c>
      <c r="O17" s="4">
        <v>9</v>
      </c>
    </row>
    <row r="18" spans="1:17" x14ac:dyDescent="0.2">
      <c r="A18" s="37" t="s">
        <v>31</v>
      </c>
      <c r="B18" s="30">
        <f t="shared" si="2"/>
        <v>23</v>
      </c>
      <c r="C18" s="4">
        <f t="shared" si="0"/>
        <v>3</v>
      </c>
      <c r="D18" s="30">
        <f t="shared" si="3"/>
        <v>22</v>
      </c>
      <c r="E18" s="4">
        <f t="shared" si="1"/>
        <v>3</v>
      </c>
      <c r="G18" s="41" t="s">
        <v>31</v>
      </c>
      <c r="H18" s="44">
        <v>14</v>
      </c>
      <c r="I18" s="45">
        <v>3</v>
      </c>
      <c r="J18" s="43">
        <v>9</v>
      </c>
      <c r="K18" s="45"/>
      <c r="L18" s="44">
        <v>11</v>
      </c>
      <c r="M18" s="45">
        <v>3</v>
      </c>
      <c r="N18" s="32">
        <v>11</v>
      </c>
      <c r="O18" s="4"/>
    </row>
    <row r="19" spans="1:17" x14ac:dyDescent="0.2">
      <c r="A19" s="37" t="s">
        <v>59</v>
      </c>
      <c r="B19" s="30">
        <f t="shared" si="2"/>
        <v>8</v>
      </c>
      <c r="C19" s="4">
        <f t="shared" si="0"/>
        <v>13</v>
      </c>
      <c r="D19" s="30">
        <f t="shared" si="3"/>
        <v>12</v>
      </c>
      <c r="E19" s="4">
        <f t="shared" si="1"/>
        <v>13</v>
      </c>
      <c r="G19" s="41" t="s">
        <v>59</v>
      </c>
      <c r="H19" s="44">
        <v>6</v>
      </c>
      <c r="I19" s="45">
        <v>10</v>
      </c>
      <c r="J19" s="43">
        <v>2</v>
      </c>
      <c r="K19" s="45">
        <v>3</v>
      </c>
      <c r="L19" s="44">
        <v>9</v>
      </c>
      <c r="M19" s="45">
        <v>10</v>
      </c>
      <c r="N19" s="32">
        <v>3</v>
      </c>
      <c r="O19" s="4">
        <v>3</v>
      </c>
    </row>
    <row r="20" spans="1:17" ht="13.5" thickBot="1" x14ac:dyDescent="0.25">
      <c r="A20" s="38" t="s">
        <v>36</v>
      </c>
      <c r="B20" s="31">
        <f t="shared" si="2"/>
        <v>8</v>
      </c>
      <c r="C20" s="1">
        <f t="shared" si="0"/>
        <v>5</v>
      </c>
      <c r="D20" s="31">
        <f t="shared" si="3"/>
        <v>9</v>
      </c>
      <c r="E20" s="1">
        <f t="shared" si="1"/>
        <v>4</v>
      </c>
      <c r="G20" s="42" t="s">
        <v>36</v>
      </c>
      <c r="H20" s="46">
        <v>3</v>
      </c>
      <c r="I20" s="47">
        <v>3</v>
      </c>
      <c r="J20" s="50">
        <v>5</v>
      </c>
      <c r="K20" s="47">
        <v>2</v>
      </c>
      <c r="L20" s="46">
        <v>3</v>
      </c>
      <c r="M20" s="47">
        <v>3</v>
      </c>
      <c r="N20" s="33">
        <v>6</v>
      </c>
      <c r="O20" s="1">
        <v>1</v>
      </c>
    </row>
    <row r="25" spans="1:17" x14ac:dyDescent="0.2">
      <c r="A25" s="35" t="s">
        <v>43</v>
      </c>
    </row>
    <row r="26" spans="1:17" x14ac:dyDescent="0.2">
      <c r="A26" t="s">
        <v>57</v>
      </c>
      <c r="B26" t="s">
        <v>39</v>
      </c>
      <c r="C26" t="s">
        <v>33</v>
      </c>
      <c r="D26" t="s">
        <v>35</v>
      </c>
      <c r="E26" t="s">
        <v>30</v>
      </c>
      <c r="F26" t="s">
        <v>37</v>
      </c>
      <c r="G26" t="s">
        <v>58</v>
      </c>
      <c r="H26" t="s">
        <v>38</v>
      </c>
      <c r="I26" t="s">
        <v>32</v>
      </c>
      <c r="J26" t="s">
        <v>34</v>
      </c>
      <c r="K26" t="s">
        <v>31</v>
      </c>
      <c r="L26" t="s">
        <v>59</v>
      </c>
      <c r="M26" t="s">
        <v>36</v>
      </c>
      <c r="N26" t="s">
        <v>60</v>
      </c>
      <c r="P26" s="34" t="s">
        <v>39</v>
      </c>
      <c r="Q26" s="34" t="s">
        <v>55</v>
      </c>
    </row>
    <row r="27" spans="1:17" x14ac:dyDescent="0.2">
      <c r="A27" t="s">
        <v>11</v>
      </c>
      <c r="B27">
        <v>8</v>
      </c>
      <c r="C27">
        <v>9</v>
      </c>
      <c r="D27">
        <v>1</v>
      </c>
      <c r="E27">
        <v>10</v>
      </c>
      <c r="G27">
        <v>4</v>
      </c>
      <c r="H27">
        <v>5</v>
      </c>
      <c r="J27">
        <v>12</v>
      </c>
      <c r="K27">
        <v>2</v>
      </c>
      <c r="L27">
        <v>3</v>
      </c>
      <c r="M27">
        <v>2</v>
      </c>
      <c r="N27">
        <v>56</v>
      </c>
      <c r="P27" s="34" t="s">
        <v>33</v>
      </c>
      <c r="Q27" s="34" t="s">
        <v>49</v>
      </c>
    </row>
    <row r="28" spans="1:17" x14ac:dyDescent="0.2">
      <c r="A28" t="s">
        <v>10</v>
      </c>
      <c r="B28">
        <v>8</v>
      </c>
      <c r="C28">
        <v>5</v>
      </c>
      <c r="D28">
        <v>2</v>
      </c>
      <c r="E28">
        <v>11</v>
      </c>
      <c r="G28">
        <v>1</v>
      </c>
      <c r="H28">
        <v>4</v>
      </c>
      <c r="I28">
        <v>1</v>
      </c>
      <c r="J28">
        <v>9</v>
      </c>
      <c r="K28">
        <v>1</v>
      </c>
      <c r="N28">
        <v>42</v>
      </c>
      <c r="P28" s="34" t="s">
        <v>35</v>
      </c>
      <c r="Q28" s="34" t="s">
        <v>51</v>
      </c>
    </row>
    <row r="29" spans="1:17" x14ac:dyDescent="0.2">
      <c r="A29" t="s">
        <v>9</v>
      </c>
      <c r="B29">
        <v>2</v>
      </c>
      <c r="C29">
        <v>5</v>
      </c>
      <c r="D29">
        <v>2</v>
      </c>
      <c r="E29">
        <v>6</v>
      </c>
      <c r="G29">
        <v>1</v>
      </c>
      <c r="H29">
        <v>2</v>
      </c>
      <c r="J29">
        <v>12</v>
      </c>
      <c r="K29">
        <v>1</v>
      </c>
      <c r="L29">
        <v>2</v>
      </c>
      <c r="N29">
        <v>33</v>
      </c>
      <c r="P29" s="34" t="s">
        <v>30</v>
      </c>
      <c r="Q29" s="34" t="s">
        <v>46</v>
      </c>
    </row>
    <row r="30" spans="1:17" x14ac:dyDescent="0.2">
      <c r="A30" t="s">
        <v>8</v>
      </c>
      <c r="B30">
        <v>6</v>
      </c>
      <c r="C30">
        <v>3</v>
      </c>
      <c r="D30">
        <v>2</v>
      </c>
      <c r="E30">
        <v>6</v>
      </c>
      <c r="H30">
        <v>5</v>
      </c>
      <c r="I30">
        <v>2</v>
      </c>
      <c r="J30">
        <v>7</v>
      </c>
      <c r="L30">
        <v>2</v>
      </c>
      <c r="M30">
        <v>1</v>
      </c>
      <c r="N30">
        <v>34</v>
      </c>
      <c r="P30" s="34" t="s">
        <v>37</v>
      </c>
      <c r="Q30" s="34" t="s">
        <v>54</v>
      </c>
    </row>
    <row r="31" spans="1:17" x14ac:dyDescent="0.2">
      <c r="A31" t="s">
        <v>7</v>
      </c>
      <c r="B31">
        <v>7</v>
      </c>
      <c r="C31">
        <v>2</v>
      </c>
      <c r="D31">
        <v>1</v>
      </c>
      <c r="E31">
        <v>10</v>
      </c>
      <c r="H31">
        <v>7</v>
      </c>
      <c r="I31">
        <v>2</v>
      </c>
      <c r="J31">
        <v>13</v>
      </c>
      <c r="K31">
        <v>5</v>
      </c>
      <c r="L31">
        <v>4</v>
      </c>
      <c r="M31">
        <v>3</v>
      </c>
      <c r="N31">
        <v>54</v>
      </c>
      <c r="P31" s="39" t="s">
        <v>58</v>
      </c>
      <c r="Q31" s="39" t="s">
        <v>40</v>
      </c>
    </row>
    <row r="32" spans="1:17" x14ac:dyDescent="0.2">
      <c r="A32" t="s">
        <v>6</v>
      </c>
      <c r="B32">
        <v>10</v>
      </c>
      <c r="C32">
        <v>11</v>
      </c>
      <c r="D32">
        <v>1</v>
      </c>
      <c r="E32">
        <v>8</v>
      </c>
      <c r="G32">
        <v>1</v>
      </c>
      <c r="H32">
        <v>6</v>
      </c>
      <c r="I32">
        <v>1</v>
      </c>
      <c r="J32">
        <v>7</v>
      </c>
      <c r="K32">
        <v>3</v>
      </c>
      <c r="L32">
        <v>3</v>
      </c>
      <c r="N32">
        <v>51</v>
      </c>
      <c r="P32" s="34" t="s">
        <v>38</v>
      </c>
      <c r="Q32" s="34" t="s">
        <v>53</v>
      </c>
    </row>
    <row r="33" spans="1:17" x14ac:dyDescent="0.2">
      <c r="A33" t="s">
        <v>5</v>
      </c>
      <c r="B33">
        <v>6</v>
      </c>
      <c r="C33">
        <v>10</v>
      </c>
      <c r="E33">
        <v>7</v>
      </c>
      <c r="G33">
        <v>3</v>
      </c>
      <c r="H33">
        <v>6</v>
      </c>
      <c r="J33">
        <v>10</v>
      </c>
      <c r="K33">
        <v>4</v>
      </c>
      <c r="L33">
        <v>2</v>
      </c>
      <c r="M33">
        <v>2</v>
      </c>
      <c r="N33">
        <v>50</v>
      </c>
      <c r="P33" s="34" t="s">
        <v>32</v>
      </c>
      <c r="Q33" s="34" t="s">
        <v>48</v>
      </c>
    </row>
    <row r="34" spans="1:17" x14ac:dyDescent="0.2">
      <c r="A34" t="s">
        <v>4</v>
      </c>
      <c r="B34">
        <v>7</v>
      </c>
      <c r="C34">
        <v>4</v>
      </c>
      <c r="D34">
        <v>2</v>
      </c>
      <c r="E34">
        <v>12</v>
      </c>
      <c r="G34">
        <v>4</v>
      </c>
      <c r="H34">
        <v>3</v>
      </c>
      <c r="I34">
        <v>1</v>
      </c>
      <c r="J34">
        <v>15</v>
      </c>
      <c r="K34">
        <v>1</v>
      </c>
      <c r="L34">
        <v>2</v>
      </c>
      <c r="N34">
        <v>51</v>
      </c>
      <c r="P34" s="34" t="s">
        <v>34</v>
      </c>
      <c r="Q34" s="34" t="s">
        <v>50</v>
      </c>
    </row>
    <row r="35" spans="1:17" x14ac:dyDescent="0.2">
      <c r="A35" t="s">
        <v>3</v>
      </c>
      <c r="B35">
        <v>4</v>
      </c>
      <c r="C35">
        <v>5</v>
      </c>
      <c r="D35">
        <v>3</v>
      </c>
      <c r="E35">
        <v>10</v>
      </c>
      <c r="G35">
        <v>1</v>
      </c>
      <c r="H35">
        <v>2</v>
      </c>
      <c r="J35">
        <v>8</v>
      </c>
      <c r="K35">
        <v>3</v>
      </c>
      <c r="M35">
        <v>1</v>
      </c>
      <c r="N35">
        <v>37</v>
      </c>
      <c r="P35" s="34" t="s">
        <v>31</v>
      </c>
      <c r="Q35" s="34" t="s">
        <v>47</v>
      </c>
    </row>
    <row r="36" spans="1:17" x14ac:dyDescent="0.2">
      <c r="A36" t="s">
        <v>2</v>
      </c>
      <c r="B36">
        <v>8</v>
      </c>
      <c r="C36">
        <v>8</v>
      </c>
      <c r="D36">
        <v>2</v>
      </c>
      <c r="E36">
        <v>11</v>
      </c>
      <c r="G36">
        <v>2</v>
      </c>
      <c r="H36">
        <v>8</v>
      </c>
      <c r="J36">
        <v>11</v>
      </c>
      <c r="K36">
        <v>1</v>
      </c>
      <c r="M36">
        <v>1</v>
      </c>
      <c r="N36">
        <v>52</v>
      </c>
      <c r="P36" s="34" t="s">
        <v>29</v>
      </c>
      <c r="Q36" s="34" t="s">
        <v>45</v>
      </c>
    </row>
    <row r="37" spans="1:17" x14ac:dyDescent="0.2">
      <c r="A37" t="s">
        <v>1</v>
      </c>
      <c r="B37">
        <v>5</v>
      </c>
      <c r="C37">
        <v>9</v>
      </c>
      <c r="D37">
        <v>1</v>
      </c>
      <c r="E37">
        <v>6</v>
      </c>
      <c r="G37">
        <v>3</v>
      </c>
      <c r="H37">
        <v>2</v>
      </c>
      <c r="J37">
        <v>11</v>
      </c>
      <c r="K37">
        <v>3</v>
      </c>
      <c r="L37">
        <v>3</v>
      </c>
      <c r="M37">
        <v>2</v>
      </c>
      <c r="N37">
        <v>45</v>
      </c>
      <c r="P37" s="34" t="s">
        <v>36</v>
      </c>
      <c r="Q37" s="34" t="s">
        <v>52</v>
      </c>
    </row>
    <row r="38" spans="1:17" x14ac:dyDescent="0.2">
      <c r="A38" t="s">
        <v>0</v>
      </c>
      <c r="B38">
        <v>7</v>
      </c>
      <c r="C38">
        <v>10</v>
      </c>
      <c r="D38">
        <v>2</v>
      </c>
      <c r="E38">
        <v>16</v>
      </c>
      <c r="G38">
        <v>1</v>
      </c>
      <c r="H38">
        <v>5</v>
      </c>
      <c r="J38">
        <v>7</v>
      </c>
      <c r="K38">
        <v>2</v>
      </c>
      <c r="M38">
        <v>1</v>
      </c>
      <c r="N38">
        <v>51</v>
      </c>
    </row>
    <row r="39" spans="1:17" x14ac:dyDescent="0.2">
      <c r="A39" t="s">
        <v>61</v>
      </c>
      <c r="B39">
        <f>SUBTOTAL(109,Table1426[ASD])</f>
        <v>78</v>
      </c>
      <c r="C39">
        <f>SUBTOTAL(109,Table1426[BESD])</f>
        <v>81</v>
      </c>
      <c r="D39">
        <f>SUBTOTAL(109,Table1426[HI])</f>
        <v>19</v>
      </c>
      <c r="E39">
        <f>SUBTOTAL(109,Table1426[MLD])</f>
        <v>113</v>
      </c>
      <c r="F39">
        <f>SUBTOTAL(109,Table1426[MSI])</f>
        <v>0</v>
      </c>
      <c r="G39">
        <f>SUBTOTAL(109,Table1426[OTH])</f>
        <v>21</v>
      </c>
      <c r="H39">
        <f>SUBTOTAL(109,Table1426[PD])</f>
        <v>55</v>
      </c>
      <c r="I39">
        <f>SUBTOTAL(109,Table1426[PMLD])</f>
        <v>7</v>
      </c>
      <c r="J39">
        <f>SUBTOTAL(109,Table1426[SLCN])</f>
        <v>122</v>
      </c>
      <c r="K39">
        <f>SUBTOTAL(109,Table1426[SLD])</f>
        <v>26</v>
      </c>
      <c r="L39">
        <f>SUBTOTAL(109,Table1426[SPLD])</f>
        <v>21</v>
      </c>
      <c r="M39">
        <f>SUBTOTAL(109,Table1426[VI])</f>
        <v>13</v>
      </c>
      <c r="N39">
        <f>SUBTOTAL(109,Table1426[Grand Total])</f>
        <v>556</v>
      </c>
    </row>
    <row r="42" spans="1:17" x14ac:dyDescent="0.2">
      <c r="A42" s="35" t="s">
        <v>44</v>
      </c>
    </row>
    <row r="43" spans="1:17" x14ac:dyDescent="0.2">
      <c r="A43" t="s">
        <v>57</v>
      </c>
      <c r="B43" t="s">
        <v>39</v>
      </c>
      <c r="C43" t="s">
        <v>33</v>
      </c>
      <c r="D43" t="s">
        <v>35</v>
      </c>
      <c r="E43" t="s">
        <v>30</v>
      </c>
      <c r="F43" t="s">
        <v>37</v>
      </c>
      <c r="G43" t="s">
        <v>58</v>
      </c>
      <c r="H43" t="s">
        <v>38</v>
      </c>
      <c r="I43" t="s">
        <v>32</v>
      </c>
      <c r="J43" t="s">
        <v>34</v>
      </c>
      <c r="K43" t="s">
        <v>31</v>
      </c>
      <c r="L43" t="s">
        <v>59</v>
      </c>
      <c r="M43" t="s">
        <v>36</v>
      </c>
      <c r="N43" t="s">
        <v>60</v>
      </c>
    </row>
    <row r="44" spans="1:17" x14ac:dyDescent="0.2">
      <c r="A44" t="s">
        <v>11</v>
      </c>
      <c r="B44">
        <v>6</v>
      </c>
      <c r="C44">
        <v>5</v>
      </c>
      <c r="D44">
        <v>1</v>
      </c>
      <c r="E44">
        <v>10</v>
      </c>
      <c r="G44">
        <v>3</v>
      </c>
      <c r="H44">
        <v>5</v>
      </c>
      <c r="J44">
        <v>10</v>
      </c>
      <c r="K44">
        <v>1</v>
      </c>
      <c r="L44">
        <v>4</v>
      </c>
      <c r="M44">
        <v>1</v>
      </c>
      <c r="N44">
        <v>46</v>
      </c>
    </row>
    <row r="45" spans="1:17" x14ac:dyDescent="0.2">
      <c r="A45" t="s">
        <v>10</v>
      </c>
      <c r="B45">
        <v>8</v>
      </c>
      <c r="C45">
        <v>3</v>
      </c>
      <c r="D45">
        <v>1</v>
      </c>
      <c r="E45">
        <v>9</v>
      </c>
      <c r="G45">
        <v>2</v>
      </c>
      <c r="H45">
        <v>4</v>
      </c>
      <c r="I45">
        <v>1</v>
      </c>
      <c r="J45">
        <v>8</v>
      </c>
      <c r="N45">
        <v>36</v>
      </c>
    </row>
    <row r="46" spans="1:17" x14ac:dyDescent="0.2">
      <c r="A46" t="s">
        <v>9</v>
      </c>
      <c r="B46">
        <v>5</v>
      </c>
      <c r="C46">
        <v>3</v>
      </c>
      <c r="D46">
        <v>3</v>
      </c>
      <c r="E46">
        <v>4</v>
      </c>
      <c r="G46">
        <v>1</v>
      </c>
      <c r="H46">
        <v>4</v>
      </c>
      <c r="J46">
        <v>11</v>
      </c>
      <c r="L46">
        <v>2</v>
      </c>
      <c r="N46">
        <v>33</v>
      </c>
    </row>
    <row r="47" spans="1:17" x14ac:dyDescent="0.2">
      <c r="A47" t="s">
        <v>8</v>
      </c>
      <c r="B47">
        <v>6</v>
      </c>
      <c r="C47">
        <v>1</v>
      </c>
      <c r="D47">
        <v>1</v>
      </c>
      <c r="E47">
        <v>6</v>
      </c>
      <c r="H47">
        <v>3</v>
      </c>
      <c r="I47">
        <v>2</v>
      </c>
      <c r="J47">
        <v>10</v>
      </c>
      <c r="L47">
        <v>2</v>
      </c>
      <c r="N47">
        <v>31</v>
      </c>
    </row>
    <row r="48" spans="1:17" x14ac:dyDescent="0.2">
      <c r="A48" t="s">
        <v>7</v>
      </c>
      <c r="B48">
        <v>8</v>
      </c>
      <c r="C48">
        <v>6</v>
      </c>
      <c r="D48">
        <v>3</v>
      </c>
      <c r="E48">
        <v>5</v>
      </c>
      <c r="G48">
        <v>1</v>
      </c>
      <c r="H48">
        <v>7</v>
      </c>
      <c r="I48">
        <v>1</v>
      </c>
      <c r="J48">
        <v>11</v>
      </c>
      <c r="K48">
        <v>4</v>
      </c>
      <c r="L48">
        <v>4</v>
      </c>
      <c r="M48">
        <v>3</v>
      </c>
      <c r="N48">
        <v>53</v>
      </c>
    </row>
    <row r="49" spans="1:14" x14ac:dyDescent="0.2">
      <c r="A49" t="s">
        <v>6</v>
      </c>
      <c r="B49">
        <v>11</v>
      </c>
      <c r="C49">
        <v>7</v>
      </c>
      <c r="D49">
        <v>1</v>
      </c>
      <c r="E49">
        <v>5</v>
      </c>
      <c r="G49">
        <v>3</v>
      </c>
      <c r="H49">
        <v>5</v>
      </c>
      <c r="I49">
        <v>1</v>
      </c>
      <c r="J49">
        <v>8</v>
      </c>
      <c r="L49">
        <v>2</v>
      </c>
      <c r="N49">
        <v>43</v>
      </c>
    </row>
    <row r="50" spans="1:14" x14ac:dyDescent="0.2">
      <c r="A50" t="s">
        <v>5</v>
      </c>
      <c r="B50">
        <v>7</v>
      </c>
      <c r="C50">
        <v>8</v>
      </c>
      <c r="D50">
        <v>1</v>
      </c>
      <c r="E50">
        <v>7</v>
      </c>
      <c r="G50">
        <v>3</v>
      </c>
      <c r="H50">
        <v>6</v>
      </c>
      <c r="J50">
        <v>11</v>
      </c>
      <c r="K50">
        <v>5</v>
      </c>
      <c r="L50">
        <v>3</v>
      </c>
      <c r="M50">
        <v>1</v>
      </c>
      <c r="N50">
        <v>52</v>
      </c>
    </row>
    <row r="51" spans="1:14" x14ac:dyDescent="0.2">
      <c r="A51" t="s">
        <v>4</v>
      </c>
      <c r="B51">
        <v>10</v>
      </c>
      <c r="C51">
        <v>4</v>
      </c>
      <c r="D51">
        <v>2</v>
      </c>
      <c r="E51">
        <v>9</v>
      </c>
      <c r="G51">
        <v>3</v>
      </c>
      <c r="H51">
        <v>3</v>
      </c>
      <c r="I51">
        <v>1</v>
      </c>
      <c r="J51">
        <v>10</v>
      </c>
      <c r="K51">
        <v>2</v>
      </c>
      <c r="L51">
        <v>2</v>
      </c>
      <c r="M51">
        <v>1</v>
      </c>
      <c r="N51">
        <v>47</v>
      </c>
    </row>
    <row r="52" spans="1:14" x14ac:dyDescent="0.2">
      <c r="A52" t="s">
        <v>3</v>
      </c>
      <c r="B52">
        <v>2</v>
      </c>
      <c r="C52">
        <v>1</v>
      </c>
      <c r="D52">
        <v>3</v>
      </c>
      <c r="E52">
        <v>11</v>
      </c>
      <c r="H52">
        <v>4</v>
      </c>
      <c r="J52">
        <v>7</v>
      </c>
      <c r="K52">
        <v>4</v>
      </c>
      <c r="M52">
        <v>1</v>
      </c>
      <c r="N52">
        <v>33</v>
      </c>
    </row>
    <row r="53" spans="1:14" x14ac:dyDescent="0.2">
      <c r="A53" t="s">
        <v>2</v>
      </c>
      <c r="B53">
        <v>8</v>
      </c>
      <c r="C53">
        <v>8</v>
      </c>
      <c r="D53">
        <v>2</v>
      </c>
      <c r="E53">
        <v>3</v>
      </c>
      <c r="F53">
        <v>1</v>
      </c>
      <c r="G53">
        <v>2</v>
      </c>
      <c r="H53">
        <v>10</v>
      </c>
      <c r="J53">
        <v>9</v>
      </c>
      <c r="K53">
        <v>2</v>
      </c>
      <c r="L53">
        <v>2</v>
      </c>
      <c r="M53">
        <v>3</v>
      </c>
      <c r="N53">
        <v>50</v>
      </c>
    </row>
    <row r="54" spans="1:14" x14ac:dyDescent="0.2">
      <c r="A54" t="s">
        <v>1</v>
      </c>
      <c r="B54">
        <v>6</v>
      </c>
      <c r="C54">
        <v>7</v>
      </c>
      <c r="E54">
        <v>6</v>
      </c>
      <c r="G54">
        <v>4</v>
      </c>
      <c r="H54">
        <v>2</v>
      </c>
      <c r="I54">
        <v>1</v>
      </c>
      <c r="J54">
        <v>11</v>
      </c>
      <c r="K54">
        <v>3</v>
      </c>
      <c r="L54">
        <v>3</v>
      </c>
      <c r="M54">
        <v>2</v>
      </c>
      <c r="N54">
        <v>45</v>
      </c>
    </row>
    <row r="55" spans="1:14" x14ac:dyDescent="0.2">
      <c r="A55" t="s">
        <v>0</v>
      </c>
      <c r="B55">
        <v>8</v>
      </c>
      <c r="C55">
        <v>7</v>
      </c>
      <c r="D55">
        <v>2</v>
      </c>
      <c r="E55">
        <v>9</v>
      </c>
      <c r="G55">
        <v>2</v>
      </c>
      <c r="H55">
        <v>3</v>
      </c>
      <c r="I55">
        <v>1</v>
      </c>
      <c r="J55">
        <v>6</v>
      </c>
      <c r="K55">
        <v>4</v>
      </c>
      <c r="L55">
        <v>1</v>
      </c>
      <c r="M55">
        <v>1</v>
      </c>
      <c r="N55">
        <v>44</v>
      </c>
    </row>
    <row r="56" spans="1:14" x14ac:dyDescent="0.2">
      <c r="A56" t="s">
        <v>61</v>
      </c>
      <c r="B56">
        <f>SUBTOTAL(109,Table13537[ASD])</f>
        <v>85</v>
      </c>
      <c r="C56">
        <f>SUBTOTAL(109,Table13537[BESD])</f>
        <v>60</v>
      </c>
      <c r="D56">
        <f>SUBTOTAL(109,Table13537[HI])</f>
        <v>20</v>
      </c>
      <c r="E56">
        <f>SUBTOTAL(109,Table13537[MLD])</f>
        <v>84</v>
      </c>
      <c r="F56">
        <f>SUBTOTAL(109,Table13537[MSI])</f>
        <v>1</v>
      </c>
      <c r="G56">
        <f>SUBTOTAL(109,Table13537[OTH])</f>
        <v>24</v>
      </c>
      <c r="H56">
        <f>SUBTOTAL(109,Table13537[PD])</f>
        <v>56</v>
      </c>
      <c r="I56">
        <f>SUBTOTAL(109,Table13537[PMLD])</f>
        <v>8</v>
      </c>
      <c r="J56">
        <f>SUBTOTAL(109,Table13537[SLCN])</f>
        <v>112</v>
      </c>
      <c r="K56">
        <f>SUBTOTAL(109,Table13537[SLD])</f>
        <v>25</v>
      </c>
      <c r="L56">
        <f>SUBTOTAL(109,Table13537[SPLD])</f>
        <v>25</v>
      </c>
      <c r="M56">
        <f>SUBTOTAL(109,Table13537[VI])</f>
        <v>13</v>
      </c>
      <c r="N56">
        <f>SUBTOTAL(109,Table13537[Grand Total])</f>
        <v>513</v>
      </c>
    </row>
  </sheetData>
  <mergeCells count="8">
    <mergeCell ref="H6:K6"/>
    <mergeCell ref="L6:O6"/>
    <mergeCell ref="B7:C7"/>
    <mergeCell ref="D7:E7"/>
    <mergeCell ref="H7:I7"/>
    <mergeCell ref="J7:K7"/>
    <mergeCell ref="L7:M7"/>
    <mergeCell ref="N7:O7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SEN - no statement</vt:lpstr>
      <vt:lpstr>2. Statements</vt:lpstr>
      <vt:lpstr>3. Need - both</vt:lpstr>
      <vt:lpstr>3. Need - P</vt:lpstr>
      <vt:lpstr>4. Need - S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Cox</dc:creator>
  <cp:lastModifiedBy>Helen Bowler</cp:lastModifiedBy>
  <dcterms:created xsi:type="dcterms:W3CDTF">2013-10-03T13:06:34Z</dcterms:created>
  <dcterms:modified xsi:type="dcterms:W3CDTF">2013-10-11T12:11:16Z</dcterms:modified>
</cp:coreProperties>
</file>