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BD" lockStructure="1"/>
  <bookViews>
    <workbookView xWindow="-39" yWindow="-79" windowWidth="15395" windowHeight="5027" firstSheet="4" activeTab="9"/>
  </bookViews>
  <sheets>
    <sheet name="Guidance" sheetId="12" state="hidden" r:id="rId1"/>
    <sheet name="HWB ID" sheetId="17" r:id="rId2"/>
    <sheet name="Payment for Performance" sheetId="22" r:id="rId3"/>
    <sheet name="1. HWB Funding Sources" sheetId="4" r:id="rId4"/>
    <sheet name="2. Summary" sheetId="10" r:id="rId5"/>
    <sheet name="3. HWB Expenditure Plan" sheetId="11" r:id="rId6"/>
    <sheet name="4. HWB Benefits Plan" sheetId="2" r:id="rId7"/>
    <sheet name="Intro" sheetId="5" state="hidden" r:id="rId8"/>
    <sheet name="5. HWB P4P metric" sheetId="21" r:id="rId9"/>
    <sheet name="6. HWB Supporting Metrics" sheetId="13" r:id="rId10"/>
    <sheet name="7. Metric trends" sheetId="14" r:id="rId11"/>
    <sheet name="List of Modifications" sheetId="23" r:id="rId12"/>
    <sheet name="a" sheetId="1" state="hidden" r:id="rId13"/>
    <sheet name="Extraction sheet" sheetId="16" state="hidden" r:id="rId14"/>
    <sheet name="8.Non-elective admissions - CCG" sheetId="18" state="hidden" r:id="rId15"/>
    <sheet name="9.Non-elective admissions - Map" sheetId="19" state="hidden" r:id="rId16"/>
    <sheet name="10.Non-elective admissions -HWB" sheetId="20" state="hidden" r:id="rId17"/>
    <sheet name="Data" sheetId="15" state="hidden" r:id="rId18"/>
    <sheet name="Sheet2" sheetId="3" state="hidden" r:id="rId19"/>
  </sheets>
  <definedNames>
    <definedName name="_xlnm._FilterDatabase" localSheetId="16" hidden="1">'10.Non-elective admissions -HWB'!$A$4:$A$156</definedName>
    <definedName name="_xlnm._FilterDatabase" localSheetId="14" hidden="1">'8.Non-elective admissions - CCG'!$A$4:$A$216</definedName>
    <definedName name="_xlnm._FilterDatabase" localSheetId="15" hidden="1">'9.Non-elective admissions - Map'!$A$2:$H$245</definedName>
    <definedName name="_xlnm.Print_Area" localSheetId="5">'3. HWB Expenditure Plan'!$A$1:$L$110</definedName>
    <definedName name="_xlnm.Print_Area" localSheetId="6">'4. HWB Benefits Plan'!$A$1:$J$219</definedName>
    <definedName name="_xlnm.Print_Area" localSheetId="8">'5. HWB P4P metric'!$A$1:$AL$46</definedName>
    <definedName name="_xlnm.Print_Area" localSheetId="9">'6. HWB Supporting Metrics'!$A$1:$W$53</definedName>
    <definedName name="_xlnm.Print_Area" localSheetId="10">'7. Metric trends'!$A$1:$O$120</definedName>
    <definedName name="_xlnm.Print_Area" localSheetId="2">'Payment for Performance'!$A$1:$I$29</definedName>
    <definedName name="Tbl_BCF_HWB_1_Funding">'1. HWB Funding Sources'!$A$8:$D$46</definedName>
    <definedName name="Tbl_BCF_HWB_2_Scheme_Ben">'2. Summary'!$B$39:$N$46</definedName>
    <definedName name="Tbl_BCF_HWB_2_Scheme_Exp">'2. Summary'!$B$10:$O$20</definedName>
    <definedName name="Tbl_BCF_HWB_2_Scheme_Min">'2. Summary'!$B$25:$E$34</definedName>
    <definedName name="Tbl_BCF_HWB_3_Exp_Plan">'3. HWB Expenditure Plan'!$A$7:$O$109</definedName>
    <definedName name="Tbl_BCF_HWB_4_Benefits_1415">'4. HWB Benefits Plan'!$A$9:$K$111</definedName>
    <definedName name="Tbl_BCF_HWB_4_Benefits_1516">'4. HWB Benefits Plan'!$A$117:$K$219</definedName>
    <definedName name="Tbl_BCF_HWB_Auth_CCG">'HWB ID'!$C$32:$K$51</definedName>
    <definedName name="Tbl_BCF_HWB_Auth_Council">'HWB ID'!$C$18:$K$27</definedName>
    <definedName name="Tbl_BCF_HWB_Auth_HWB">'HWB ID'!$C$11:$K$13</definedName>
    <definedName name="Tbl_BCF_HWB_Metadata">'HWB ID'!$C$5:$D$5</definedName>
    <definedName name="Tbl_BCF_HWB_PfP_Change">'Payment for Performance'!$A$6:$C$27</definedName>
    <definedName name="Tbl_BCF_HWB_PfP_QBreakdown">'Payment for Performance'!$E$7:$J$19</definedName>
    <definedName name="version">"V3"</definedName>
  </definedNames>
  <calcPr calcId="145621"/>
  <pivotCaches>
    <pivotCache cacheId="0" r:id="rId20"/>
  </pivotCaches>
</workbook>
</file>

<file path=xl/calcChain.xml><?xml version="1.0" encoding="utf-8"?>
<calcChain xmlns="http://schemas.openxmlformats.org/spreadsheetml/2006/main">
  <c r="D48" i="13" l="1"/>
  <c r="F18" i="10" l="1"/>
  <c r="E18" i="10"/>
  <c r="B125" i="2" l="1"/>
  <c r="B124" i="2"/>
  <c r="B123" i="2"/>
  <c r="B122" i="2"/>
  <c r="B121" i="2"/>
  <c r="E48" i="13" l="1"/>
  <c r="C48" i="13"/>
  <c r="J10" i="21" l="1"/>
  <c r="I10" i="21"/>
  <c r="H10" i="21"/>
  <c r="G10" i="21"/>
  <c r="K10" i="21" s="1"/>
  <c r="K109" i="11" l="1"/>
  <c r="L109"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H111" i="2" l="1"/>
  <c r="H219" i="2"/>
  <c r="M109" i="11"/>
  <c r="N109" i="11"/>
  <c r="H13" i="2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111" i="2"/>
  <c r="B112" i="2"/>
  <c r="B113" i="2"/>
  <c r="B114" i="2"/>
  <c r="B115" i="2"/>
  <c r="B116" i="2"/>
  <c r="B117" i="2"/>
  <c r="B118" i="2"/>
  <c r="B119" i="2"/>
  <c r="B120"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S90" i="14"/>
  <c r="BR90" i="14"/>
  <c r="BQ90" i="14"/>
  <c r="BP90" i="14"/>
  <c r="BO90" i="14"/>
  <c r="BN90" i="14"/>
  <c r="BM90" i="14"/>
  <c r="BL90" i="14"/>
  <c r="BK90" i="14"/>
  <c r="BJ90" i="14"/>
  <c r="BI90" i="14"/>
  <c r="BH90" i="14"/>
  <c r="BG90" i="14"/>
  <c r="BF90" i="14"/>
  <c r="BE90" i="14"/>
  <c r="BD90" i="14"/>
  <c r="BC90" i="14"/>
  <c r="BB90" i="14"/>
  <c r="BA90" i="14"/>
  <c r="AZ90" i="14"/>
  <c r="AY90" i="14"/>
  <c r="AX90" i="14"/>
  <c r="AW90" i="14"/>
  <c r="AV90" i="14"/>
  <c r="D28" i="10" l="1"/>
  <c r="F20" i="10" l="1"/>
  <c r="D29" i="10"/>
  <c r="D30" i="10"/>
  <c r="D31" i="10"/>
  <c r="D32" i="10"/>
  <c r="D33" i="10"/>
  <c r="D34" i="10" l="1"/>
  <c r="D19" i="10"/>
  <c r="D18" i="10"/>
  <c r="D17" i="10"/>
  <c r="D16" i="10"/>
  <c r="D15" i="10"/>
  <c r="D14" i="10"/>
  <c r="D13" i="10"/>
  <c r="C19" i="10"/>
  <c r="C18" i="10"/>
  <c r="C17" i="10"/>
  <c r="C16" i="10"/>
  <c r="C15" i="10"/>
  <c r="C14" i="10"/>
  <c r="C13" i="10"/>
  <c r="D41" i="10"/>
  <c r="C42" i="10"/>
  <c r="D42" i="10"/>
  <c r="C43" i="10"/>
  <c r="D43" i="10"/>
  <c r="C44" i="10"/>
  <c r="D44" i="10"/>
  <c r="D45" i="10"/>
  <c r="D46" i="10" l="1"/>
  <c r="C20" i="10"/>
  <c r="D20" i="10"/>
  <c r="E12" i="11"/>
  <c r="C41" i="10" l="1"/>
  <c r="C45" i="10"/>
  <c r="D18" i="13"/>
  <c r="K12" i="14"/>
  <c r="C46" i="10" l="1"/>
  <c r="B172" i="16"/>
  <c r="B168" i="16"/>
  <c r="B165" i="16"/>
  <c r="B162" i="16"/>
  <c r="B159" i="16"/>
  <c r="B156" i="16"/>
  <c r="B153" i="16"/>
  <c r="B128" i="16" l="1"/>
  <c r="B127" i="16"/>
  <c r="B126" i="16"/>
  <c r="B125" i="16"/>
  <c r="B124" i="16"/>
  <c r="B123" i="16"/>
  <c r="B122" i="16"/>
  <c r="B121" i="16"/>
  <c r="B120" i="16"/>
  <c r="B119" i="16"/>
  <c r="B118" i="16"/>
  <c r="B117" i="16"/>
  <c r="B140" i="16"/>
  <c r="B85" i="16"/>
  <c r="B25" i="22" l="1"/>
  <c r="J247" i="19"/>
  <c r="K247" i="19"/>
  <c r="L247" i="19"/>
  <c r="M247" i="19"/>
  <c r="N247" i="19"/>
  <c r="O247" i="19"/>
  <c r="P247" i="19"/>
  <c r="Q247" i="19"/>
  <c r="R247" i="19"/>
  <c r="S247" i="19"/>
  <c r="T247" i="19"/>
  <c r="U247" i="19"/>
  <c r="J248" i="19"/>
  <c r="K248" i="19"/>
  <c r="L248" i="19"/>
  <c r="M248" i="19"/>
  <c r="N248" i="19"/>
  <c r="O248" i="19"/>
  <c r="P248" i="19"/>
  <c r="Q248" i="19"/>
  <c r="R248" i="19"/>
  <c r="S248" i="19"/>
  <c r="T248" i="19"/>
  <c r="U248" i="19"/>
  <c r="J249" i="19"/>
  <c r="K249" i="19"/>
  <c r="L249" i="19"/>
  <c r="M249" i="19"/>
  <c r="N249" i="19"/>
  <c r="O249" i="19"/>
  <c r="P249" i="19"/>
  <c r="Q249" i="19"/>
  <c r="R249" i="19"/>
  <c r="S249" i="19"/>
  <c r="T249" i="19"/>
  <c r="U249" i="19"/>
  <c r="J250" i="19"/>
  <c r="K250" i="19"/>
  <c r="L250" i="19"/>
  <c r="M250" i="19"/>
  <c r="N250" i="19"/>
  <c r="O250" i="19"/>
  <c r="P250" i="19"/>
  <c r="Q250" i="19"/>
  <c r="R250" i="19"/>
  <c r="S250" i="19"/>
  <c r="T250" i="19"/>
  <c r="U250" i="19"/>
  <c r="J251" i="19"/>
  <c r="K251" i="19"/>
  <c r="L251" i="19"/>
  <c r="M251" i="19"/>
  <c r="N251" i="19"/>
  <c r="O251" i="19"/>
  <c r="P251" i="19"/>
  <c r="Q251" i="19"/>
  <c r="R251" i="19"/>
  <c r="S251" i="19"/>
  <c r="T251" i="19"/>
  <c r="U251" i="19"/>
  <c r="J252" i="19"/>
  <c r="K252" i="19"/>
  <c r="L252" i="19"/>
  <c r="M252" i="19"/>
  <c r="N252" i="19"/>
  <c r="O252" i="19"/>
  <c r="P252" i="19"/>
  <c r="Q252" i="19"/>
  <c r="R252" i="19"/>
  <c r="S252" i="19"/>
  <c r="T252" i="19"/>
  <c r="U252" i="19"/>
  <c r="J253" i="19"/>
  <c r="K253" i="19"/>
  <c r="L253" i="19"/>
  <c r="M253" i="19"/>
  <c r="N253" i="19"/>
  <c r="O253" i="19"/>
  <c r="P253" i="19"/>
  <c r="Q253" i="19"/>
  <c r="R253" i="19"/>
  <c r="S253" i="19"/>
  <c r="T253" i="19"/>
  <c r="U253" i="19"/>
  <c r="J254" i="19"/>
  <c r="K254" i="19"/>
  <c r="L254" i="19"/>
  <c r="M254" i="19"/>
  <c r="N254" i="19"/>
  <c r="O254" i="19"/>
  <c r="P254" i="19"/>
  <c r="Q254" i="19"/>
  <c r="R254" i="19"/>
  <c r="S254" i="19"/>
  <c r="T254" i="19"/>
  <c r="U254" i="19"/>
  <c r="J255" i="19"/>
  <c r="K255" i="19"/>
  <c r="L255" i="19"/>
  <c r="M255" i="19"/>
  <c r="N255" i="19"/>
  <c r="O255" i="19"/>
  <c r="P255" i="19"/>
  <c r="Q255" i="19"/>
  <c r="R255" i="19"/>
  <c r="S255" i="19"/>
  <c r="T255" i="19"/>
  <c r="U255" i="19"/>
  <c r="J256" i="19"/>
  <c r="K256" i="19"/>
  <c r="L256" i="19"/>
  <c r="M256" i="19"/>
  <c r="N256" i="19"/>
  <c r="O256" i="19"/>
  <c r="P256" i="19"/>
  <c r="Q256" i="19"/>
  <c r="R256" i="19"/>
  <c r="S256" i="19"/>
  <c r="T256" i="19"/>
  <c r="U256" i="19"/>
  <c r="J257" i="19"/>
  <c r="K257" i="19"/>
  <c r="L257" i="19"/>
  <c r="M257" i="19"/>
  <c r="N257" i="19"/>
  <c r="O257" i="19"/>
  <c r="P257" i="19"/>
  <c r="Q257" i="19"/>
  <c r="R257" i="19"/>
  <c r="S257" i="19"/>
  <c r="T257" i="19"/>
  <c r="U257" i="19"/>
  <c r="J258" i="19"/>
  <c r="K258" i="19"/>
  <c r="L258" i="19"/>
  <c r="M258" i="19"/>
  <c r="N258" i="19"/>
  <c r="O258" i="19"/>
  <c r="P258" i="19"/>
  <c r="Q258" i="19"/>
  <c r="R258" i="19"/>
  <c r="S258" i="19"/>
  <c r="T258" i="19"/>
  <c r="U258" i="19"/>
  <c r="J259" i="19"/>
  <c r="K259" i="19"/>
  <c r="L259" i="19"/>
  <c r="M259" i="19"/>
  <c r="N259" i="19"/>
  <c r="O259" i="19"/>
  <c r="P259" i="19"/>
  <c r="Q259" i="19"/>
  <c r="R259" i="19"/>
  <c r="S259" i="19"/>
  <c r="T259" i="19"/>
  <c r="U259" i="19"/>
  <c r="J260" i="19"/>
  <c r="K260" i="19"/>
  <c r="L260" i="19"/>
  <c r="M260" i="19"/>
  <c r="N260" i="19"/>
  <c r="O260" i="19"/>
  <c r="P260" i="19"/>
  <c r="Q260" i="19"/>
  <c r="R260" i="19"/>
  <c r="S260" i="19"/>
  <c r="T260" i="19"/>
  <c r="U260" i="19"/>
  <c r="J261" i="19"/>
  <c r="K261" i="19"/>
  <c r="L261" i="19"/>
  <c r="M261" i="19"/>
  <c r="N261" i="19"/>
  <c r="O261" i="19"/>
  <c r="P261" i="19"/>
  <c r="Q261" i="19"/>
  <c r="R261" i="19"/>
  <c r="S261" i="19"/>
  <c r="T261" i="19"/>
  <c r="U261" i="19"/>
  <c r="J262" i="19"/>
  <c r="K262" i="19"/>
  <c r="L262" i="19"/>
  <c r="M262" i="19"/>
  <c r="N262" i="19"/>
  <c r="O262" i="19"/>
  <c r="P262" i="19"/>
  <c r="Q262" i="19"/>
  <c r="R262" i="19"/>
  <c r="S262" i="19"/>
  <c r="T262" i="19"/>
  <c r="U262" i="19"/>
  <c r="J263" i="19"/>
  <c r="K263" i="19"/>
  <c r="L263" i="19"/>
  <c r="M263" i="19"/>
  <c r="N263" i="19"/>
  <c r="O263" i="19"/>
  <c r="P263" i="19"/>
  <c r="Q263" i="19"/>
  <c r="R263" i="19"/>
  <c r="S263" i="19"/>
  <c r="T263" i="19"/>
  <c r="U263" i="19"/>
  <c r="J264" i="19"/>
  <c r="K264" i="19"/>
  <c r="L264" i="19"/>
  <c r="M264" i="19"/>
  <c r="N264" i="19"/>
  <c r="O264" i="19"/>
  <c r="P264" i="19"/>
  <c r="Q264" i="19"/>
  <c r="R264" i="19"/>
  <c r="S264" i="19"/>
  <c r="T264" i="19"/>
  <c r="U264" i="19"/>
  <c r="J265" i="19"/>
  <c r="K265" i="19"/>
  <c r="L265" i="19"/>
  <c r="M265" i="19"/>
  <c r="N265" i="19"/>
  <c r="O265" i="19"/>
  <c r="P265" i="19"/>
  <c r="Q265" i="19"/>
  <c r="R265" i="19"/>
  <c r="S265" i="19"/>
  <c r="T265" i="19"/>
  <c r="U265" i="19"/>
  <c r="J266" i="19"/>
  <c r="K266" i="19"/>
  <c r="L266" i="19"/>
  <c r="M266" i="19"/>
  <c r="N266" i="19"/>
  <c r="O266" i="19"/>
  <c r="P266" i="19"/>
  <c r="Q266" i="19"/>
  <c r="R266" i="19"/>
  <c r="S266" i="19"/>
  <c r="T266" i="19"/>
  <c r="U266" i="19"/>
  <c r="J267" i="19"/>
  <c r="K267" i="19"/>
  <c r="L267" i="19"/>
  <c r="M267" i="19"/>
  <c r="N267" i="19"/>
  <c r="O267" i="19"/>
  <c r="P267" i="19"/>
  <c r="Q267" i="19"/>
  <c r="R267" i="19"/>
  <c r="S267" i="19"/>
  <c r="T267" i="19"/>
  <c r="U267" i="19"/>
  <c r="J268" i="19"/>
  <c r="K268" i="19"/>
  <c r="L268" i="19"/>
  <c r="M268" i="19"/>
  <c r="N268" i="19"/>
  <c r="O268" i="19"/>
  <c r="P268" i="19"/>
  <c r="Q268" i="19"/>
  <c r="R268" i="19"/>
  <c r="S268" i="19"/>
  <c r="T268" i="19"/>
  <c r="U268" i="19"/>
  <c r="J269" i="19"/>
  <c r="K269" i="19"/>
  <c r="L269" i="19"/>
  <c r="M269" i="19"/>
  <c r="N269" i="19"/>
  <c r="O269" i="19"/>
  <c r="P269" i="19"/>
  <c r="Q269" i="19"/>
  <c r="R269" i="19"/>
  <c r="S269" i="19"/>
  <c r="T269" i="19"/>
  <c r="U269" i="19"/>
  <c r="J270" i="19"/>
  <c r="K270" i="19"/>
  <c r="L270" i="19"/>
  <c r="M270" i="19"/>
  <c r="N270" i="19"/>
  <c r="O270" i="19"/>
  <c r="P270" i="19"/>
  <c r="Q270" i="19"/>
  <c r="R270" i="19"/>
  <c r="S270" i="19"/>
  <c r="T270" i="19"/>
  <c r="U270" i="19"/>
  <c r="J271" i="19"/>
  <c r="K271" i="19"/>
  <c r="L271" i="19"/>
  <c r="M271" i="19"/>
  <c r="N271" i="19"/>
  <c r="O271" i="19"/>
  <c r="P271" i="19"/>
  <c r="Q271" i="19"/>
  <c r="R271" i="19"/>
  <c r="S271" i="19"/>
  <c r="T271" i="19"/>
  <c r="U271" i="19"/>
  <c r="J272" i="19"/>
  <c r="K272" i="19"/>
  <c r="L272" i="19"/>
  <c r="M272" i="19"/>
  <c r="N272" i="19"/>
  <c r="O272" i="19"/>
  <c r="P272" i="19"/>
  <c r="Q272" i="19"/>
  <c r="R272" i="19"/>
  <c r="S272" i="19"/>
  <c r="T272" i="19"/>
  <c r="U272" i="19"/>
  <c r="J273" i="19"/>
  <c r="K273" i="19"/>
  <c r="L273" i="19"/>
  <c r="M273" i="19"/>
  <c r="N273" i="19"/>
  <c r="O273" i="19"/>
  <c r="P273" i="19"/>
  <c r="Q273" i="19"/>
  <c r="R273" i="19"/>
  <c r="S273" i="19"/>
  <c r="T273" i="19"/>
  <c r="U273" i="19"/>
  <c r="J274" i="19"/>
  <c r="K274" i="19"/>
  <c r="L274" i="19"/>
  <c r="M274" i="19"/>
  <c r="N274" i="19"/>
  <c r="O274" i="19"/>
  <c r="P274" i="19"/>
  <c r="Q274" i="19"/>
  <c r="R274" i="19"/>
  <c r="S274" i="19"/>
  <c r="T274" i="19"/>
  <c r="U274" i="19"/>
  <c r="J275" i="19"/>
  <c r="K275" i="19"/>
  <c r="L275" i="19"/>
  <c r="M275" i="19"/>
  <c r="N275" i="19"/>
  <c r="O275" i="19"/>
  <c r="P275" i="19"/>
  <c r="Q275" i="19"/>
  <c r="R275" i="19"/>
  <c r="S275" i="19"/>
  <c r="T275" i="19"/>
  <c r="U275" i="19"/>
  <c r="J276" i="19"/>
  <c r="K276" i="19"/>
  <c r="L276" i="19"/>
  <c r="M276" i="19"/>
  <c r="N276" i="19"/>
  <c r="O276" i="19"/>
  <c r="P276" i="19"/>
  <c r="Q276" i="19"/>
  <c r="R276" i="19"/>
  <c r="S276" i="19"/>
  <c r="T276" i="19"/>
  <c r="U276" i="19"/>
  <c r="J277" i="19"/>
  <c r="K277" i="19"/>
  <c r="L277" i="19"/>
  <c r="M277" i="19"/>
  <c r="N277" i="19"/>
  <c r="O277" i="19"/>
  <c r="P277" i="19"/>
  <c r="Q277" i="19"/>
  <c r="R277" i="19"/>
  <c r="S277" i="19"/>
  <c r="T277" i="19"/>
  <c r="U277" i="19"/>
  <c r="J278" i="19"/>
  <c r="K278" i="19"/>
  <c r="L278" i="19"/>
  <c r="M278" i="19"/>
  <c r="N278" i="19"/>
  <c r="O278" i="19"/>
  <c r="P278" i="19"/>
  <c r="Q278" i="19"/>
  <c r="R278" i="19"/>
  <c r="S278" i="19"/>
  <c r="T278" i="19"/>
  <c r="U278" i="19"/>
  <c r="J279" i="19"/>
  <c r="K279" i="19"/>
  <c r="L279" i="19"/>
  <c r="M279" i="19"/>
  <c r="N279" i="19"/>
  <c r="O279" i="19"/>
  <c r="P279" i="19"/>
  <c r="Q279" i="19"/>
  <c r="R279" i="19"/>
  <c r="S279" i="19"/>
  <c r="T279" i="19"/>
  <c r="U279" i="19"/>
  <c r="J280" i="19"/>
  <c r="K280" i="19"/>
  <c r="L280" i="19"/>
  <c r="M280" i="19"/>
  <c r="N280" i="19"/>
  <c r="O280" i="19"/>
  <c r="P280" i="19"/>
  <c r="Q280" i="19"/>
  <c r="R280" i="19"/>
  <c r="S280" i="19"/>
  <c r="T280" i="19"/>
  <c r="U280" i="19"/>
  <c r="J281" i="19"/>
  <c r="K281" i="19"/>
  <c r="L281" i="19"/>
  <c r="M281" i="19"/>
  <c r="N281" i="19"/>
  <c r="O281" i="19"/>
  <c r="P281" i="19"/>
  <c r="Q281" i="19"/>
  <c r="R281" i="19"/>
  <c r="S281" i="19"/>
  <c r="T281" i="19"/>
  <c r="U281" i="19"/>
  <c r="J282" i="19"/>
  <c r="K282" i="19"/>
  <c r="L282" i="19"/>
  <c r="M282" i="19"/>
  <c r="N282" i="19"/>
  <c r="O282" i="19"/>
  <c r="P282" i="19"/>
  <c r="Q282" i="19"/>
  <c r="R282" i="19"/>
  <c r="S282" i="19"/>
  <c r="T282" i="19"/>
  <c r="U282" i="19"/>
  <c r="J283" i="19"/>
  <c r="K283" i="19"/>
  <c r="L283" i="19"/>
  <c r="M283" i="19"/>
  <c r="N283" i="19"/>
  <c r="O283" i="19"/>
  <c r="P283" i="19"/>
  <c r="Q283" i="19"/>
  <c r="R283" i="19"/>
  <c r="S283" i="19"/>
  <c r="T283" i="19"/>
  <c r="U283" i="19"/>
  <c r="J284" i="19"/>
  <c r="K284" i="19"/>
  <c r="L284" i="19"/>
  <c r="M284" i="19"/>
  <c r="N284" i="19"/>
  <c r="O284" i="19"/>
  <c r="P284" i="19"/>
  <c r="Q284" i="19"/>
  <c r="R284" i="19"/>
  <c r="S284" i="19"/>
  <c r="T284" i="19"/>
  <c r="U284" i="19"/>
  <c r="J285" i="19"/>
  <c r="K285" i="19"/>
  <c r="L285" i="19"/>
  <c r="M285" i="19"/>
  <c r="N285" i="19"/>
  <c r="O285" i="19"/>
  <c r="P285" i="19"/>
  <c r="Q285" i="19"/>
  <c r="R285" i="19"/>
  <c r="S285" i="19"/>
  <c r="T285" i="19"/>
  <c r="U285" i="19"/>
  <c r="J286" i="19"/>
  <c r="K286" i="19"/>
  <c r="L286" i="19"/>
  <c r="M286" i="19"/>
  <c r="N286" i="19"/>
  <c r="O286" i="19"/>
  <c r="P286" i="19"/>
  <c r="Q286" i="19"/>
  <c r="R286" i="19"/>
  <c r="S286" i="19"/>
  <c r="T286" i="19"/>
  <c r="U286" i="19"/>
  <c r="J287" i="19"/>
  <c r="K287" i="19"/>
  <c r="L287" i="19"/>
  <c r="M287" i="19"/>
  <c r="N287" i="19"/>
  <c r="O287" i="19"/>
  <c r="P287" i="19"/>
  <c r="Q287" i="19"/>
  <c r="R287" i="19"/>
  <c r="S287" i="19"/>
  <c r="T287" i="19"/>
  <c r="U287" i="19"/>
  <c r="J288" i="19"/>
  <c r="K288" i="19"/>
  <c r="L288" i="19"/>
  <c r="M288" i="19"/>
  <c r="N288" i="19"/>
  <c r="O288" i="19"/>
  <c r="P288" i="19"/>
  <c r="Q288" i="19"/>
  <c r="R288" i="19"/>
  <c r="S288" i="19"/>
  <c r="T288" i="19"/>
  <c r="U288" i="19"/>
  <c r="J289" i="19"/>
  <c r="K289" i="19"/>
  <c r="L289" i="19"/>
  <c r="M289" i="19"/>
  <c r="N289" i="19"/>
  <c r="O289" i="19"/>
  <c r="P289" i="19"/>
  <c r="Q289" i="19"/>
  <c r="R289" i="19"/>
  <c r="S289" i="19"/>
  <c r="T289" i="19"/>
  <c r="U289" i="19"/>
  <c r="J290" i="19"/>
  <c r="K290" i="19"/>
  <c r="L290" i="19"/>
  <c r="M290" i="19"/>
  <c r="N290" i="19"/>
  <c r="O290" i="19"/>
  <c r="P290" i="19"/>
  <c r="Q290" i="19"/>
  <c r="R290" i="19"/>
  <c r="S290" i="19"/>
  <c r="T290" i="19"/>
  <c r="U290" i="19"/>
  <c r="J291" i="19"/>
  <c r="K291" i="19"/>
  <c r="L291" i="19"/>
  <c r="M291" i="19"/>
  <c r="N291" i="19"/>
  <c r="O291" i="19"/>
  <c r="P291" i="19"/>
  <c r="Q291" i="19"/>
  <c r="R291" i="19"/>
  <c r="S291" i="19"/>
  <c r="T291" i="19"/>
  <c r="U291" i="19"/>
  <c r="J292" i="19"/>
  <c r="K292" i="19"/>
  <c r="L292" i="19"/>
  <c r="M292" i="19"/>
  <c r="N292" i="19"/>
  <c r="O292" i="19"/>
  <c r="P292" i="19"/>
  <c r="Q292" i="19"/>
  <c r="R292" i="19"/>
  <c r="S292" i="19"/>
  <c r="T292" i="19"/>
  <c r="U292" i="19"/>
  <c r="J293" i="19"/>
  <c r="K293" i="19"/>
  <c r="L293" i="19"/>
  <c r="M293" i="19"/>
  <c r="N293" i="19"/>
  <c r="O293" i="19"/>
  <c r="P293" i="19"/>
  <c r="Q293" i="19"/>
  <c r="R293" i="19"/>
  <c r="S293" i="19"/>
  <c r="T293" i="19"/>
  <c r="U293" i="19"/>
  <c r="J294" i="19"/>
  <c r="K294" i="19"/>
  <c r="L294" i="19"/>
  <c r="M294" i="19"/>
  <c r="N294" i="19"/>
  <c r="O294" i="19"/>
  <c r="P294" i="19"/>
  <c r="Q294" i="19"/>
  <c r="R294" i="19"/>
  <c r="S294" i="19"/>
  <c r="T294" i="19"/>
  <c r="U294" i="19"/>
  <c r="J295" i="19"/>
  <c r="K295" i="19"/>
  <c r="L295" i="19"/>
  <c r="M295" i="19"/>
  <c r="N295" i="19"/>
  <c r="O295" i="19"/>
  <c r="P295" i="19"/>
  <c r="Q295" i="19"/>
  <c r="R295" i="19"/>
  <c r="S295" i="19"/>
  <c r="T295" i="19"/>
  <c r="U295" i="19"/>
  <c r="J296" i="19"/>
  <c r="K296" i="19"/>
  <c r="L296" i="19"/>
  <c r="M296" i="19"/>
  <c r="N296" i="19"/>
  <c r="O296" i="19"/>
  <c r="P296" i="19"/>
  <c r="Q296" i="19"/>
  <c r="R296" i="19"/>
  <c r="S296" i="19"/>
  <c r="T296" i="19"/>
  <c r="U296" i="19"/>
  <c r="J297" i="19"/>
  <c r="K297" i="19"/>
  <c r="L297" i="19"/>
  <c r="M297" i="19"/>
  <c r="N297" i="19"/>
  <c r="O297" i="19"/>
  <c r="P297" i="19"/>
  <c r="Q297" i="19"/>
  <c r="R297" i="19"/>
  <c r="S297" i="19"/>
  <c r="T297" i="19"/>
  <c r="U297" i="19"/>
  <c r="J298" i="19"/>
  <c r="K298" i="19"/>
  <c r="L298" i="19"/>
  <c r="M298" i="19"/>
  <c r="N298" i="19"/>
  <c r="O298" i="19"/>
  <c r="P298" i="19"/>
  <c r="Q298" i="19"/>
  <c r="R298" i="19"/>
  <c r="S298" i="19"/>
  <c r="T298" i="19"/>
  <c r="U298" i="19"/>
  <c r="J299" i="19"/>
  <c r="K299" i="19"/>
  <c r="L299" i="19"/>
  <c r="M299" i="19"/>
  <c r="N299" i="19"/>
  <c r="O299" i="19"/>
  <c r="P299" i="19"/>
  <c r="Q299" i="19"/>
  <c r="R299" i="19"/>
  <c r="S299" i="19"/>
  <c r="T299" i="19"/>
  <c r="U299" i="19"/>
  <c r="J300" i="19"/>
  <c r="K300" i="19"/>
  <c r="L300" i="19"/>
  <c r="M300" i="19"/>
  <c r="N300" i="19"/>
  <c r="O300" i="19"/>
  <c r="P300" i="19"/>
  <c r="Q300" i="19"/>
  <c r="R300" i="19"/>
  <c r="S300" i="19"/>
  <c r="T300" i="19"/>
  <c r="U300" i="19"/>
  <c r="J301" i="19"/>
  <c r="K301" i="19"/>
  <c r="L301" i="19"/>
  <c r="M301" i="19"/>
  <c r="N301" i="19"/>
  <c r="O301" i="19"/>
  <c r="P301" i="19"/>
  <c r="Q301" i="19"/>
  <c r="R301" i="19"/>
  <c r="S301" i="19"/>
  <c r="T301" i="19"/>
  <c r="U301" i="19"/>
  <c r="J302" i="19"/>
  <c r="K302" i="19"/>
  <c r="L302" i="19"/>
  <c r="M302" i="19"/>
  <c r="N302" i="19"/>
  <c r="O302" i="19"/>
  <c r="P302" i="19"/>
  <c r="Q302" i="19"/>
  <c r="R302" i="19"/>
  <c r="S302" i="19"/>
  <c r="T302" i="19"/>
  <c r="U302" i="19"/>
  <c r="J303" i="19"/>
  <c r="K303" i="19"/>
  <c r="L303" i="19"/>
  <c r="M303" i="19"/>
  <c r="N303" i="19"/>
  <c r="O303" i="19"/>
  <c r="P303" i="19"/>
  <c r="Q303" i="19"/>
  <c r="R303" i="19"/>
  <c r="S303" i="19"/>
  <c r="T303" i="19"/>
  <c r="U303" i="19"/>
  <c r="J304" i="19"/>
  <c r="K304" i="19"/>
  <c r="L304" i="19"/>
  <c r="M304" i="19"/>
  <c r="N304" i="19"/>
  <c r="O304" i="19"/>
  <c r="P304" i="19"/>
  <c r="Q304" i="19"/>
  <c r="R304" i="19"/>
  <c r="S304" i="19"/>
  <c r="T304" i="19"/>
  <c r="U304" i="19"/>
  <c r="J305" i="19"/>
  <c r="K305" i="19"/>
  <c r="L305" i="19"/>
  <c r="M305" i="19"/>
  <c r="N305" i="19"/>
  <c r="O305" i="19"/>
  <c r="P305" i="19"/>
  <c r="Q305" i="19"/>
  <c r="R305" i="19"/>
  <c r="S305" i="19"/>
  <c r="T305" i="19"/>
  <c r="U305" i="19"/>
  <c r="J306" i="19"/>
  <c r="K306" i="19"/>
  <c r="L306" i="19"/>
  <c r="M306" i="19"/>
  <c r="N306" i="19"/>
  <c r="O306" i="19"/>
  <c r="P306" i="19"/>
  <c r="Q306" i="19"/>
  <c r="R306" i="19"/>
  <c r="S306" i="19"/>
  <c r="T306" i="19"/>
  <c r="U306" i="19"/>
  <c r="J307" i="19"/>
  <c r="K307" i="19"/>
  <c r="L307" i="19"/>
  <c r="M307" i="19"/>
  <c r="N307" i="19"/>
  <c r="O307" i="19"/>
  <c r="P307" i="19"/>
  <c r="Q307" i="19"/>
  <c r="R307" i="19"/>
  <c r="S307" i="19"/>
  <c r="T307" i="19"/>
  <c r="U307" i="19"/>
  <c r="J308" i="19"/>
  <c r="K308" i="19"/>
  <c r="L308" i="19"/>
  <c r="M308" i="19"/>
  <c r="N308" i="19"/>
  <c r="O308" i="19"/>
  <c r="P308" i="19"/>
  <c r="Q308" i="19"/>
  <c r="R308" i="19"/>
  <c r="S308" i="19"/>
  <c r="T308" i="19"/>
  <c r="U308" i="19"/>
  <c r="J309" i="19"/>
  <c r="K309" i="19"/>
  <c r="L309" i="19"/>
  <c r="M309" i="19"/>
  <c r="N309" i="19"/>
  <c r="O309" i="19"/>
  <c r="P309" i="19"/>
  <c r="Q309" i="19"/>
  <c r="R309" i="19"/>
  <c r="S309" i="19"/>
  <c r="T309" i="19"/>
  <c r="U309" i="19"/>
  <c r="J310" i="19"/>
  <c r="K310" i="19"/>
  <c r="L310" i="19"/>
  <c r="M310" i="19"/>
  <c r="N310" i="19"/>
  <c r="O310" i="19"/>
  <c r="P310" i="19"/>
  <c r="Q310" i="19"/>
  <c r="R310" i="19"/>
  <c r="S310" i="19"/>
  <c r="T310" i="19"/>
  <c r="U310" i="19"/>
  <c r="J311" i="19"/>
  <c r="K311" i="19"/>
  <c r="L311" i="19"/>
  <c r="M311" i="19"/>
  <c r="N311" i="19"/>
  <c r="O311" i="19"/>
  <c r="P311" i="19"/>
  <c r="Q311" i="19"/>
  <c r="R311" i="19"/>
  <c r="S311" i="19"/>
  <c r="T311" i="19"/>
  <c r="U311" i="19"/>
  <c r="J312" i="19"/>
  <c r="K312" i="19"/>
  <c r="L312" i="19"/>
  <c r="M312" i="19"/>
  <c r="N312" i="19"/>
  <c r="O312" i="19"/>
  <c r="P312" i="19"/>
  <c r="Q312" i="19"/>
  <c r="R312" i="19"/>
  <c r="S312" i="19"/>
  <c r="T312" i="19"/>
  <c r="U312" i="19"/>
  <c r="J313" i="19"/>
  <c r="K313" i="19"/>
  <c r="L313" i="19"/>
  <c r="M313" i="19"/>
  <c r="N313" i="19"/>
  <c r="O313" i="19"/>
  <c r="P313" i="19"/>
  <c r="Q313" i="19"/>
  <c r="R313" i="19"/>
  <c r="S313" i="19"/>
  <c r="T313" i="19"/>
  <c r="U313" i="19"/>
  <c r="J314" i="19"/>
  <c r="K314" i="19"/>
  <c r="L314" i="19"/>
  <c r="M314" i="19"/>
  <c r="N314" i="19"/>
  <c r="O314" i="19"/>
  <c r="P314" i="19"/>
  <c r="Q314" i="19"/>
  <c r="R314" i="19"/>
  <c r="S314" i="19"/>
  <c r="T314" i="19"/>
  <c r="U314" i="19"/>
  <c r="J315" i="19"/>
  <c r="K315" i="19"/>
  <c r="L315" i="19"/>
  <c r="M315" i="19"/>
  <c r="N315" i="19"/>
  <c r="O315" i="19"/>
  <c r="P315" i="19"/>
  <c r="Q315" i="19"/>
  <c r="R315" i="19"/>
  <c r="S315" i="19"/>
  <c r="T315" i="19"/>
  <c r="U315" i="19"/>
  <c r="J316" i="19"/>
  <c r="K316" i="19"/>
  <c r="L316" i="19"/>
  <c r="M316" i="19"/>
  <c r="N316" i="19"/>
  <c r="O316" i="19"/>
  <c r="P316" i="19"/>
  <c r="Q316" i="19"/>
  <c r="R316" i="19"/>
  <c r="S316" i="19"/>
  <c r="T316" i="19"/>
  <c r="U316" i="19"/>
  <c r="J317" i="19"/>
  <c r="K317" i="19"/>
  <c r="L317" i="19"/>
  <c r="M317" i="19"/>
  <c r="N317" i="19"/>
  <c r="O317" i="19"/>
  <c r="P317" i="19"/>
  <c r="Q317" i="19"/>
  <c r="R317" i="19"/>
  <c r="S317" i="19"/>
  <c r="T317" i="19"/>
  <c r="U317" i="19"/>
  <c r="J318" i="19"/>
  <c r="K318" i="19"/>
  <c r="L318" i="19"/>
  <c r="M318" i="19"/>
  <c r="N318" i="19"/>
  <c r="O318" i="19"/>
  <c r="P318" i="19"/>
  <c r="Q318" i="19"/>
  <c r="R318" i="19"/>
  <c r="S318" i="19"/>
  <c r="T318" i="19"/>
  <c r="U318" i="19"/>
  <c r="J319" i="19"/>
  <c r="K319" i="19"/>
  <c r="L319" i="19"/>
  <c r="M319" i="19"/>
  <c r="N319" i="19"/>
  <c r="O319" i="19"/>
  <c r="P319" i="19"/>
  <c r="Q319" i="19"/>
  <c r="R319" i="19"/>
  <c r="S319" i="19"/>
  <c r="T319" i="19"/>
  <c r="U319" i="19"/>
  <c r="J320" i="19"/>
  <c r="K320" i="19"/>
  <c r="L320" i="19"/>
  <c r="M320" i="19"/>
  <c r="N320" i="19"/>
  <c r="O320" i="19"/>
  <c r="P320" i="19"/>
  <c r="Q320" i="19"/>
  <c r="R320" i="19"/>
  <c r="S320" i="19"/>
  <c r="T320" i="19"/>
  <c r="U320" i="19"/>
  <c r="J321" i="19"/>
  <c r="K321" i="19"/>
  <c r="L321" i="19"/>
  <c r="M321" i="19"/>
  <c r="N321" i="19"/>
  <c r="O321" i="19"/>
  <c r="P321" i="19"/>
  <c r="Q321" i="19"/>
  <c r="R321" i="19"/>
  <c r="S321" i="19"/>
  <c r="T321" i="19"/>
  <c r="U321" i="19"/>
  <c r="J322" i="19"/>
  <c r="K322" i="19"/>
  <c r="L322" i="19"/>
  <c r="M322" i="19"/>
  <c r="N322" i="19"/>
  <c r="O322" i="19"/>
  <c r="P322" i="19"/>
  <c r="Q322" i="19"/>
  <c r="R322" i="19"/>
  <c r="S322" i="19"/>
  <c r="T322" i="19"/>
  <c r="U322" i="19"/>
  <c r="J323" i="19"/>
  <c r="K323" i="19"/>
  <c r="L323" i="19"/>
  <c r="M323" i="19"/>
  <c r="N323" i="19"/>
  <c r="O323" i="19"/>
  <c r="P323" i="19"/>
  <c r="Q323" i="19"/>
  <c r="R323" i="19"/>
  <c r="S323" i="19"/>
  <c r="T323" i="19"/>
  <c r="U323" i="19"/>
  <c r="J324" i="19"/>
  <c r="K324" i="19"/>
  <c r="L324" i="19"/>
  <c r="M324" i="19"/>
  <c r="N324" i="19"/>
  <c r="O324" i="19"/>
  <c r="P324" i="19"/>
  <c r="Q324" i="19"/>
  <c r="R324" i="19"/>
  <c r="S324" i="19"/>
  <c r="T324" i="19"/>
  <c r="U324" i="19"/>
  <c r="J325" i="19"/>
  <c r="K325" i="19"/>
  <c r="L325" i="19"/>
  <c r="M325" i="19"/>
  <c r="N325" i="19"/>
  <c r="O325" i="19"/>
  <c r="P325" i="19"/>
  <c r="Q325" i="19"/>
  <c r="R325" i="19"/>
  <c r="S325" i="19"/>
  <c r="T325" i="19"/>
  <c r="U325" i="19"/>
  <c r="J326" i="19"/>
  <c r="K326" i="19"/>
  <c r="L326" i="19"/>
  <c r="M326" i="19"/>
  <c r="N326" i="19"/>
  <c r="O326" i="19"/>
  <c r="P326" i="19"/>
  <c r="Q326" i="19"/>
  <c r="R326" i="19"/>
  <c r="S326" i="19"/>
  <c r="T326" i="19"/>
  <c r="U326" i="19"/>
  <c r="J327" i="19"/>
  <c r="K327" i="19"/>
  <c r="L327" i="19"/>
  <c r="M327" i="19"/>
  <c r="N327" i="19"/>
  <c r="O327" i="19"/>
  <c r="P327" i="19"/>
  <c r="Q327" i="19"/>
  <c r="R327" i="19"/>
  <c r="S327" i="19"/>
  <c r="T327" i="19"/>
  <c r="U327" i="19"/>
  <c r="J328" i="19"/>
  <c r="K328" i="19"/>
  <c r="L328" i="19"/>
  <c r="M328" i="19"/>
  <c r="N328" i="19"/>
  <c r="O328" i="19"/>
  <c r="P328" i="19"/>
  <c r="Q328" i="19"/>
  <c r="R328" i="19"/>
  <c r="S328" i="19"/>
  <c r="T328" i="19"/>
  <c r="U328" i="19"/>
  <c r="J329" i="19"/>
  <c r="K329" i="19"/>
  <c r="L329" i="19"/>
  <c r="M329" i="19"/>
  <c r="N329" i="19"/>
  <c r="O329" i="19"/>
  <c r="P329" i="19"/>
  <c r="Q329" i="19"/>
  <c r="R329" i="19"/>
  <c r="S329" i="19"/>
  <c r="T329" i="19"/>
  <c r="U329" i="19"/>
  <c r="J330" i="19"/>
  <c r="K330" i="19"/>
  <c r="L330" i="19"/>
  <c r="M330" i="19"/>
  <c r="N330" i="19"/>
  <c r="O330" i="19"/>
  <c r="P330" i="19"/>
  <c r="Q330" i="19"/>
  <c r="R330" i="19"/>
  <c r="S330" i="19"/>
  <c r="T330" i="19"/>
  <c r="U330" i="19"/>
  <c r="J331" i="19"/>
  <c r="K331" i="19"/>
  <c r="L331" i="19"/>
  <c r="M331" i="19"/>
  <c r="N331" i="19"/>
  <c r="O331" i="19"/>
  <c r="P331" i="19"/>
  <c r="Q331" i="19"/>
  <c r="R331" i="19"/>
  <c r="S331" i="19"/>
  <c r="T331" i="19"/>
  <c r="U331" i="19"/>
  <c r="J332" i="19"/>
  <c r="K332" i="19"/>
  <c r="L332" i="19"/>
  <c r="M332" i="19"/>
  <c r="N332" i="19"/>
  <c r="O332" i="19"/>
  <c r="P332" i="19"/>
  <c r="Q332" i="19"/>
  <c r="R332" i="19"/>
  <c r="S332" i="19"/>
  <c r="T332" i="19"/>
  <c r="U332" i="19"/>
  <c r="J333" i="19"/>
  <c r="K333" i="19"/>
  <c r="L333" i="19"/>
  <c r="M333" i="19"/>
  <c r="N333" i="19"/>
  <c r="O333" i="19"/>
  <c r="P333" i="19"/>
  <c r="Q333" i="19"/>
  <c r="R333" i="19"/>
  <c r="S333" i="19"/>
  <c r="T333" i="19"/>
  <c r="U333" i="19"/>
  <c r="J334" i="19"/>
  <c r="K334" i="19"/>
  <c r="L334" i="19"/>
  <c r="M334" i="19"/>
  <c r="N334" i="19"/>
  <c r="O334" i="19"/>
  <c r="P334" i="19"/>
  <c r="Q334" i="19"/>
  <c r="R334" i="19"/>
  <c r="S334" i="19"/>
  <c r="T334" i="19"/>
  <c r="U334" i="19"/>
  <c r="J335" i="19"/>
  <c r="K335" i="19"/>
  <c r="L335" i="19"/>
  <c r="M335" i="19"/>
  <c r="N335" i="19"/>
  <c r="O335" i="19"/>
  <c r="P335" i="19"/>
  <c r="Q335" i="19"/>
  <c r="R335" i="19"/>
  <c r="S335" i="19"/>
  <c r="T335" i="19"/>
  <c r="U335" i="19"/>
  <c r="J336" i="19"/>
  <c r="K336" i="19"/>
  <c r="L336" i="19"/>
  <c r="M336" i="19"/>
  <c r="N336" i="19"/>
  <c r="O336" i="19"/>
  <c r="P336" i="19"/>
  <c r="Q336" i="19"/>
  <c r="R336" i="19"/>
  <c r="S336" i="19"/>
  <c r="T336" i="19"/>
  <c r="U336" i="19"/>
  <c r="J337" i="19"/>
  <c r="K337" i="19"/>
  <c r="L337" i="19"/>
  <c r="M337" i="19"/>
  <c r="N337" i="19"/>
  <c r="O337" i="19"/>
  <c r="P337" i="19"/>
  <c r="Q337" i="19"/>
  <c r="R337" i="19"/>
  <c r="S337" i="19"/>
  <c r="T337" i="19"/>
  <c r="U337" i="19"/>
  <c r="J338" i="19"/>
  <c r="K338" i="19"/>
  <c r="L338" i="19"/>
  <c r="M338" i="19"/>
  <c r="N338" i="19"/>
  <c r="O338" i="19"/>
  <c r="P338" i="19"/>
  <c r="Q338" i="19"/>
  <c r="R338" i="19"/>
  <c r="S338" i="19"/>
  <c r="T338" i="19"/>
  <c r="U338" i="19"/>
  <c r="J339" i="19"/>
  <c r="K339" i="19"/>
  <c r="L339" i="19"/>
  <c r="M339" i="19"/>
  <c r="N339" i="19"/>
  <c r="O339" i="19"/>
  <c r="P339" i="19"/>
  <c r="Q339" i="19"/>
  <c r="R339" i="19"/>
  <c r="S339" i="19"/>
  <c r="T339" i="19"/>
  <c r="U339" i="19"/>
  <c r="J340" i="19"/>
  <c r="K340" i="19"/>
  <c r="L340" i="19"/>
  <c r="M340" i="19"/>
  <c r="N340" i="19"/>
  <c r="O340" i="19"/>
  <c r="P340" i="19"/>
  <c r="Q340" i="19"/>
  <c r="R340" i="19"/>
  <c r="S340" i="19"/>
  <c r="T340" i="19"/>
  <c r="U340" i="19"/>
  <c r="J341" i="19"/>
  <c r="K341" i="19"/>
  <c r="L341" i="19"/>
  <c r="M341" i="19"/>
  <c r="N341" i="19"/>
  <c r="O341" i="19"/>
  <c r="P341" i="19"/>
  <c r="Q341" i="19"/>
  <c r="R341" i="19"/>
  <c r="S341" i="19"/>
  <c r="T341" i="19"/>
  <c r="U341" i="19"/>
  <c r="J342" i="19"/>
  <c r="K342" i="19"/>
  <c r="L342" i="19"/>
  <c r="M342" i="19"/>
  <c r="N342" i="19"/>
  <c r="O342" i="19"/>
  <c r="P342" i="19"/>
  <c r="Q342" i="19"/>
  <c r="R342" i="19"/>
  <c r="S342" i="19"/>
  <c r="T342" i="19"/>
  <c r="U342" i="19"/>
  <c r="J343" i="19"/>
  <c r="K343" i="19"/>
  <c r="L343" i="19"/>
  <c r="M343" i="19"/>
  <c r="N343" i="19"/>
  <c r="O343" i="19"/>
  <c r="P343" i="19"/>
  <c r="Q343" i="19"/>
  <c r="R343" i="19"/>
  <c r="S343" i="19"/>
  <c r="T343" i="19"/>
  <c r="U343" i="19"/>
  <c r="J344" i="19"/>
  <c r="K344" i="19"/>
  <c r="L344" i="19"/>
  <c r="M344" i="19"/>
  <c r="N344" i="19"/>
  <c r="O344" i="19"/>
  <c r="P344" i="19"/>
  <c r="Q344" i="19"/>
  <c r="R344" i="19"/>
  <c r="S344" i="19"/>
  <c r="T344" i="19"/>
  <c r="U344" i="19"/>
  <c r="J345" i="19"/>
  <c r="K345" i="19"/>
  <c r="L345" i="19"/>
  <c r="M345" i="19"/>
  <c r="N345" i="19"/>
  <c r="O345" i="19"/>
  <c r="P345" i="19"/>
  <c r="Q345" i="19"/>
  <c r="R345" i="19"/>
  <c r="S345" i="19"/>
  <c r="T345" i="19"/>
  <c r="U345" i="19"/>
  <c r="J346" i="19"/>
  <c r="K346" i="19"/>
  <c r="L346" i="19"/>
  <c r="M346" i="19"/>
  <c r="N346" i="19"/>
  <c r="O346" i="19"/>
  <c r="P346" i="19"/>
  <c r="Q346" i="19"/>
  <c r="R346" i="19"/>
  <c r="S346" i="19"/>
  <c r="T346" i="19"/>
  <c r="U346" i="19"/>
  <c r="J347" i="19"/>
  <c r="K347" i="19"/>
  <c r="L347" i="19"/>
  <c r="M347" i="19"/>
  <c r="N347" i="19"/>
  <c r="O347" i="19"/>
  <c r="P347" i="19"/>
  <c r="Q347" i="19"/>
  <c r="R347" i="19"/>
  <c r="S347" i="19"/>
  <c r="T347" i="19"/>
  <c r="U347" i="19"/>
  <c r="J348" i="19"/>
  <c r="K348" i="19"/>
  <c r="L348" i="19"/>
  <c r="M348" i="19"/>
  <c r="N348" i="19"/>
  <c r="O348" i="19"/>
  <c r="P348" i="19"/>
  <c r="Q348" i="19"/>
  <c r="R348" i="19"/>
  <c r="S348" i="19"/>
  <c r="T348" i="19"/>
  <c r="U348" i="19"/>
  <c r="J349" i="19"/>
  <c r="K349" i="19"/>
  <c r="L349" i="19"/>
  <c r="M349" i="19"/>
  <c r="N349" i="19"/>
  <c r="O349" i="19"/>
  <c r="P349" i="19"/>
  <c r="Q349" i="19"/>
  <c r="R349" i="19"/>
  <c r="S349" i="19"/>
  <c r="T349" i="19"/>
  <c r="U349" i="19"/>
  <c r="J350" i="19"/>
  <c r="K350" i="19"/>
  <c r="L350" i="19"/>
  <c r="M350" i="19"/>
  <c r="N350" i="19"/>
  <c r="O350" i="19"/>
  <c r="P350" i="19"/>
  <c r="Q350" i="19"/>
  <c r="R350" i="19"/>
  <c r="S350" i="19"/>
  <c r="T350" i="19"/>
  <c r="U350" i="19"/>
  <c r="J351" i="19"/>
  <c r="K351" i="19"/>
  <c r="L351" i="19"/>
  <c r="M351" i="19"/>
  <c r="N351" i="19"/>
  <c r="O351" i="19"/>
  <c r="P351" i="19"/>
  <c r="Q351" i="19"/>
  <c r="R351" i="19"/>
  <c r="S351" i="19"/>
  <c r="T351" i="19"/>
  <c r="U351" i="19"/>
  <c r="J352" i="19"/>
  <c r="K352" i="19"/>
  <c r="L352" i="19"/>
  <c r="M352" i="19"/>
  <c r="N352" i="19"/>
  <c r="O352" i="19"/>
  <c r="P352" i="19"/>
  <c r="Q352" i="19"/>
  <c r="R352" i="19"/>
  <c r="S352" i="19"/>
  <c r="T352" i="19"/>
  <c r="U352" i="19"/>
  <c r="J353" i="19"/>
  <c r="K353" i="19"/>
  <c r="L353" i="19"/>
  <c r="M353" i="19"/>
  <c r="N353" i="19"/>
  <c r="O353" i="19"/>
  <c r="P353" i="19"/>
  <c r="Q353" i="19"/>
  <c r="R353" i="19"/>
  <c r="S353" i="19"/>
  <c r="T353" i="19"/>
  <c r="U353" i="19"/>
  <c r="J354" i="19"/>
  <c r="K354" i="19"/>
  <c r="L354" i="19"/>
  <c r="M354" i="19"/>
  <c r="N354" i="19"/>
  <c r="O354" i="19"/>
  <c r="P354" i="19"/>
  <c r="Q354" i="19"/>
  <c r="R354" i="19"/>
  <c r="S354" i="19"/>
  <c r="T354" i="19"/>
  <c r="U354" i="19"/>
  <c r="J355" i="19"/>
  <c r="K355" i="19"/>
  <c r="L355" i="19"/>
  <c r="M355" i="19"/>
  <c r="N355" i="19"/>
  <c r="O355" i="19"/>
  <c r="P355" i="19"/>
  <c r="Q355" i="19"/>
  <c r="R355" i="19"/>
  <c r="S355" i="19"/>
  <c r="T355" i="19"/>
  <c r="U355" i="19"/>
  <c r="J356" i="19"/>
  <c r="K356" i="19"/>
  <c r="L356" i="19"/>
  <c r="M356" i="19"/>
  <c r="N356" i="19"/>
  <c r="O356" i="19"/>
  <c r="P356" i="19"/>
  <c r="Q356" i="19"/>
  <c r="R356" i="19"/>
  <c r="S356" i="19"/>
  <c r="T356" i="19"/>
  <c r="U356" i="19"/>
  <c r="J357" i="19"/>
  <c r="K357" i="19"/>
  <c r="L357" i="19"/>
  <c r="M357" i="19"/>
  <c r="N357" i="19"/>
  <c r="O357" i="19"/>
  <c r="P357" i="19"/>
  <c r="Q357" i="19"/>
  <c r="R357" i="19"/>
  <c r="S357" i="19"/>
  <c r="T357" i="19"/>
  <c r="U357" i="19"/>
  <c r="J358" i="19"/>
  <c r="K358" i="19"/>
  <c r="L358" i="19"/>
  <c r="M358" i="19"/>
  <c r="N358" i="19"/>
  <c r="O358" i="19"/>
  <c r="P358" i="19"/>
  <c r="Q358" i="19"/>
  <c r="R358" i="19"/>
  <c r="S358" i="19"/>
  <c r="T358" i="19"/>
  <c r="U358" i="19"/>
  <c r="J359" i="19"/>
  <c r="K359" i="19"/>
  <c r="L359" i="19"/>
  <c r="M359" i="19"/>
  <c r="N359" i="19"/>
  <c r="O359" i="19"/>
  <c r="P359" i="19"/>
  <c r="Q359" i="19"/>
  <c r="R359" i="19"/>
  <c r="S359" i="19"/>
  <c r="T359" i="19"/>
  <c r="U359" i="19"/>
  <c r="J360" i="19"/>
  <c r="K360" i="19"/>
  <c r="L360" i="19"/>
  <c r="M360" i="19"/>
  <c r="N360" i="19"/>
  <c r="O360" i="19"/>
  <c r="P360" i="19"/>
  <c r="Q360" i="19"/>
  <c r="R360" i="19"/>
  <c r="S360" i="19"/>
  <c r="T360" i="19"/>
  <c r="U360" i="19"/>
  <c r="J361" i="19"/>
  <c r="K361" i="19"/>
  <c r="L361" i="19"/>
  <c r="M361" i="19"/>
  <c r="N361" i="19"/>
  <c r="O361" i="19"/>
  <c r="P361" i="19"/>
  <c r="Q361" i="19"/>
  <c r="R361" i="19"/>
  <c r="S361" i="19"/>
  <c r="T361" i="19"/>
  <c r="U361" i="19"/>
  <c r="J362" i="19"/>
  <c r="K362" i="19"/>
  <c r="L362" i="19"/>
  <c r="M362" i="19"/>
  <c r="N362" i="19"/>
  <c r="O362" i="19"/>
  <c r="P362" i="19"/>
  <c r="Q362" i="19"/>
  <c r="R362" i="19"/>
  <c r="S362" i="19"/>
  <c r="T362" i="19"/>
  <c r="U362" i="19"/>
  <c r="J363" i="19"/>
  <c r="K363" i="19"/>
  <c r="L363" i="19"/>
  <c r="M363" i="19"/>
  <c r="N363" i="19"/>
  <c r="O363" i="19"/>
  <c r="P363" i="19"/>
  <c r="Q363" i="19"/>
  <c r="R363" i="19"/>
  <c r="S363" i="19"/>
  <c r="T363" i="19"/>
  <c r="U363" i="19"/>
  <c r="J364" i="19"/>
  <c r="K364" i="19"/>
  <c r="L364" i="19"/>
  <c r="M364" i="19"/>
  <c r="N364" i="19"/>
  <c r="O364" i="19"/>
  <c r="P364" i="19"/>
  <c r="Q364" i="19"/>
  <c r="R364" i="19"/>
  <c r="S364" i="19"/>
  <c r="T364" i="19"/>
  <c r="U364" i="19"/>
  <c r="J365" i="19"/>
  <c r="K365" i="19"/>
  <c r="L365" i="19"/>
  <c r="M365" i="19"/>
  <c r="N365" i="19"/>
  <c r="O365" i="19"/>
  <c r="P365" i="19"/>
  <c r="Q365" i="19"/>
  <c r="R365" i="19"/>
  <c r="S365" i="19"/>
  <c r="T365" i="19"/>
  <c r="U365" i="19"/>
  <c r="J366" i="19"/>
  <c r="K366" i="19"/>
  <c r="L366" i="19"/>
  <c r="M366" i="19"/>
  <c r="N366" i="19"/>
  <c r="O366" i="19"/>
  <c r="P366" i="19"/>
  <c r="Q366" i="19"/>
  <c r="R366" i="19"/>
  <c r="S366" i="19"/>
  <c r="T366" i="19"/>
  <c r="U366" i="19"/>
  <c r="J367" i="19"/>
  <c r="K367" i="19"/>
  <c r="L367" i="19"/>
  <c r="M367" i="19"/>
  <c r="N367" i="19"/>
  <c r="O367" i="19"/>
  <c r="P367" i="19"/>
  <c r="Q367" i="19"/>
  <c r="R367" i="19"/>
  <c r="S367" i="19"/>
  <c r="T367" i="19"/>
  <c r="U367" i="19"/>
  <c r="J368" i="19"/>
  <c r="K368" i="19"/>
  <c r="L368" i="19"/>
  <c r="M368" i="19"/>
  <c r="N368" i="19"/>
  <c r="O368" i="19"/>
  <c r="P368" i="19"/>
  <c r="Q368" i="19"/>
  <c r="R368" i="19"/>
  <c r="S368" i="19"/>
  <c r="T368" i="19"/>
  <c r="U368" i="19"/>
  <c r="J369" i="19"/>
  <c r="K369" i="19"/>
  <c r="L369" i="19"/>
  <c r="M369" i="19"/>
  <c r="N369" i="19"/>
  <c r="O369" i="19"/>
  <c r="P369" i="19"/>
  <c r="Q369" i="19"/>
  <c r="R369" i="19"/>
  <c r="S369" i="19"/>
  <c r="T369" i="19"/>
  <c r="U369" i="19"/>
  <c r="J370" i="19"/>
  <c r="K370" i="19"/>
  <c r="L370" i="19"/>
  <c r="M370" i="19"/>
  <c r="N370" i="19"/>
  <c r="O370" i="19"/>
  <c r="P370" i="19"/>
  <c r="Q370" i="19"/>
  <c r="R370" i="19"/>
  <c r="S370" i="19"/>
  <c r="T370" i="19"/>
  <c r="U370" i="19"/>
  <c r="J371" i="19"/>
  <c r="K371" i="19"/>
  <c r="L371" i="19"/>
  <c r="M371" i="19"/>
  <c r="N371" i="19"/>
  <c r="O371" i="19"/>
  <c r="P371" i="19"/>
  <c r="Q371" i="19"/>
  <c r="R371" i="19"/>
  <c r="S371" i="19"/>
  <c r="T371" i="19"/>
  <c r="U371" i="19"/>
  <c r="J372" i="19"/>
  <c r="K372" i="19"/>
  <c r="L372" i="19"/>
  <c r="M372" i="19"/>
  <c r="N372" i="19"/>
  <c r="O372" i="19"/>
  <c r="P372" i="19"/>
  <c r="Q372" i="19"/>
  <c r="R372" i="19"/>
  <c r="S372" i="19"/>
  <c r="T372" i="19"/>
  <c r="U372" i="19"/>
  <c r="J373" i="19"/>
  <c r="K373" i="19"/>
  <c r="L373" i="19"/>
  <c r="M373" i="19"/>
  <c r="N373" i="19"/>
  <c r="O373" i="19"/>
  <c r="P373" i="19"/>
  <c r="Q373" i="19"/>
  <c r="R373" i="19"/>
  <c r="S373" i="19"/>
  <c r="T373" i="19"/>
  <c r="U373" i="19"/>
  <c r="J374" i="19"/>
  <c r="K374" i="19"/>
  <c r="L374" i="19"/>
  <c r="M374" i="19"/>
  <c r="N374" i="19"/>
  <c r="O374" i="19"/>
  <c r="P374" i="19"/>
  <c r="Q374" i="19"/>
  <c r="R374" i="19"/>
  <c r="S374" i="19"/>
  <c r="T374" i="19"/>
  <c r="U374" i="19"/>
  <c r="J375" i="19"/>
  <c r="K375" i="19"/>
  <c r="L375" i="19"/>
  <c r="M375" i="19"/>
  <c r="N375" i="19"/>
  <c r="O375" i="19"/>
  <c r="P375" i="19"/>
  <c r="Q375" i="19"/>
  <c r="R375" i="19"/>
  <c r="S375" i="19"/>
  <c r="T375" i="19"/>
  <c r="U375" i="19"/>
  <c r="J376" i="19"/>
  <c r="K376" i="19"/>
  <c r="L376" i="19"/>
  <c r="M376" i="19"/>
  <c r="N376" i="19"/>
  <c r="O376" i="19"/>
  <c r="P376" i="19"/>
  <c r="Q376" i="19"/>
  <c r="R376" i="19"/>
  <c r="S376" i="19"/>
  <c r="T376" i="19"/>
  <c r="U376" i="19"/>
  <c r="J377" i="19"/>
  <c r="K377" i="19"/>
  <c r="L377" i="19"/>
  <c r="M377" i="19"/>
  <c r="N377" i="19"/>
  <c r="O377" i="19"/>
  <c r="P377" i="19"/>
  <c r="Q377" i="19"/>
  <c r="R377" i="19"/>
  <c r="S377" i="19"/>
  <c r="T377" i="19"/>
  <c r="U377" i="19"/>
  <c r="J378" i="19"/>
  <c r="K378" i="19"/>
  <c r="L378" i="19"/>
  <c r="M378" i="19"/>
  <c r="N378" i="19"/>
  <c r="O378" i="19"/>
  <c r="P378" i="19"/>
  <c r="Q378" i="19"/>
  <c r="R378" i="19"/>
  <c r="S378" i="19"/>
  <c r="T378" i="19"/>
  <c r="U378" i="19"/>
  <c r="J379" i="19"/>
  <c r="K379" i="19"/>
  <c r="L379" i="19"/>
  <c r="M379" i="19"/>
  <c r="N379" i="19"/>
  <c r="O379" i="19"/>
  <c r="P379" i="19"/>
  <c r="Q379" i="19"/>
  <c r="R379" i="19"/>
  <c r="S379" i="19"/>
  <c r="T379" i="19"/>
  <c r="U379" i="19"/>
  <c r="J380" i="19"/>
  <c r="K380" i="19"/>
  <c r="L380" i="19"/>
  <c r="M380" i="19"/>
  <c r="N380" i="19"/>
  <c r="O380" i="19"/>
  <c r="P380" i="19"/>
  <c r="Q380" i="19"/>
  <c r="R380" i="19"/>
  <c r="S380" i="19"/>
  <c r="T380" i="19"/>
  <c r="U380" i="19"/>
  <c r="J381" i="19"/>
  <c r="K381" i="19"/>
  <c r="L381" i="19"/>
  <c r="M381" i="19"/>
  <c r="N381" i="19"/>
  <c r="O381" i="19"/>
  <c r="P381" i="19"/>
  <c r="Q381" i="19"/>
  <c r="R381" i="19"/>
  <c r="S381" i="19"/>
  <c r="T381" i="19"/>
  <c r="U381" i="19"/>
  <c r="J382" i="19"/>
  <c r="K382" i="19"/>
  <c r="L382" i="19"/>
  <c r="M382" i="19"/>
  <c r="N382" i="19"/>
  <c r="O382" i="19"/>
  <c r="P382" i="19"/>
  <c r="Q382" i="19"/>
  <c r="R382" i="19"/>
  <c r="S382" i="19"/>
  <c r="T382" i="19"/>
  <c r="U382" i="19"/>
  <c r="J383" i="19"/>
  <c r="K383" i="19"/>
  <c r="L383" i="19"/>
  <c r="M383" i="19"/>
  <c r="N383" i="19"/>
  <c r="O383" i="19"/>
  <c r="P383" i="19"/>
  <c r="Q383" i="19"/>
  <c r="R383" i="19"/>
  <c r="S383" i="19"/>
  <c r="T383" i="19"/>
  <c r="U383" i="19"/>
  <c r="J384" i="19"/>
  <c r="K384" i="19"/>
  <c r="L384" i="19"/>
  <c r="M384" i="19"/>
  <c r="N384" i="19"/>
  <c r="O384" i="19"/>
  <c r="P384" i="19"/>
  <c r="Q384" i="19"/>
  <c r="R384" i="19"/>
  <c r="S384" i="19"/>
  <c r="T384" i="19"/>
  <c r="U384" i="19"/>
  <c r="J385" i="19"/>
  <c r="K385" i="19"/>
  <c r="L385" i="19"/>
  <c r="M385" i="19"/>
  <c r="N385" i="19"/>
  <c r="O385" i="19"/>
  <c r="P385" i="19"/>
  <c r="Q385" i="19"/>
  <c r="R385" i="19"/>
  <c r="S385" i="19"/>
  <c r="T385" i="19"/>
  <c r="U385" i="19"/>
  <c r="J386" i="19"/>
  <c r="K386" i="19"/>
  <c r="L386" i="19"/>
  <c r="M386" i="19"/>
  <c r="N386" i="19"/>
  <c r="O386" i="19"/>
  <c r="P386" i="19"/>
  <c r="Q386" i="19"/>
  <c r="R386" i="19"/>
  <c r="S386" i="19"/>
  <c r="T386" i="19"/>
  <c r="U386" i="19"/>
  <c r="J387" i="19"/>
  <c r="K387" i="19"/>
  <c r="L387" i="19"/>
  <c r="M387" i="19"/>
  <c r="N387" i="19"/>
  <c r="O387" i="19"/>
  <c r="P387" i="19"/>
  <c r="Q387" i="19"/>
  <c r="R387" i="19"/>
  <c r="S387" i="19"/>
  <c r="T387" i="19"/>
  <c r="U387" i="19"/>
  <c r="J388" i="19"/>
  <c r="K388" i="19"/>
  <c r="L388" i="19"/>
  <c r="M388" i="19"/>
  <c r="N388" i="19"/>
  <c r="O388" i="19"/>
  <c r="P388" i="19"/>
  <c r="Q388" i="19"/>
  <c r="R388" i="19"/>
  <c r="S388" i="19"/>
  <c r="T388" i="19"/>
  <c r="U388" i="19"/>
  <c r="J389" i="19"/>
  <c r="K389" i="19"/>
  <c r="L389" i="19"/>
  <c r="M389" i="19"/>
  <c r="N389" i="19"/>
  <c r="O389" i="19"/>
  <c r="P389" i="19"/>
  <c r="Q389" i="19"/>
  <c r="R389" i="19"/>
  <c r="S389" i="19"/>
  <c r="T389" i="19"/>
  <c r="U389" i="19"/>
  <c r="J390" i="19"/>
  <c r="K390" i="19"/>
  <c r="L390" i="19"/>
  <c r="M390" i="19"/>
  <c r="N390" i="19"/>
  <c r="O390" i="19"/>
  <c r="P390" i="19"/>
  <c r="Q390" i="19"/>
  <c r="R390" i="19"/>
  <c r="S390" i="19"/>
  <c r="T390" i="19"/>
  <c r="U390" i="19"/>
  <c r="J391" i="19"/>
  <c r="K391" i="19"/>
  <c r="L391" i="19"/>
  <c r="M391" i="19"/>
  <c r="N391" i="19"/>
  <c r="O391" i="19"/>
  <c r="P391" i="19"/>
  <c r="Q391" i="19"/>
  <c r="R391" i="19"/>
  <c r="S391" i="19"/>
  <c r="T391" i="19"/>
  <c r="U391" i="19"/>
  <c r="J392" i="19"/>
  <c r="K392" i="19"/>
  <c r="L392" i="19"/>
  <c r="M392" i="19"/>
  <c r="N392" i="19"/>
  <c r="O392" i="19"/>
  <c r="P392" i="19"/>
  <c r="Q392" i="19"/>
  <c r="R392" i="19"/>
  <c r="S392" i="19"/>
  <c r="T392" i="19"/>
  <c r="U392" i="19"/>
  <c r="J393" i="19"/>
  <c r="F153" i="20" s="1"/>
  <c r="K393" i="19"/>
  <c r="G153" i="20" s="1"/>
  <c r="L393" i="19"/>
  <c r="H153" i="20" s="1"/>
  <c r="M393" i="19"/>
  <c r="I153" i="20" s="1"/>
  <c r="N393" i="19"/>
  <c r="J153" i="20" s="1"/>
  <c r="O393" i="19"/>
  <c r="K153" i="20" s="1"/>
  <c r="P393" i="19"/>
  <c r="L153" i="20" s="1"/>
  <c r="Q393" i="19"/>
  <c r="M153" i="20" s="1"/>
  <c r="R393" i="19"/>
  <c r="N153" i="20" s="1"/>
  <c r="S393" i="19"/>
  <c r="O153" i="20" s="1"/>
  <c r="T393" i="19"/>
  <c r="P153" i="20" s="1"/>
  <c r="U393" i="19"/>
  <c r="Q153" i="20" s="1"/>
  <c r="J394" i="19"/>
  <c r="K394" i="19"/>
  <c r="L394" i="19"/>
  <c r="M394" i="19"/>
  <c r="N394" i="19"/>
  <c r="O394" i="19"/>
  <c r="P394" i="19"/>
  <c r="Q394" i="19"/>
  <c r="R394" i="19"/>
  <c r="S394" i="19"/>
  <c r="T394" i="19"/>
  <c r="U394" i="19"/>
  <c r="J395" i="19"/>
  <c r="K395" i="19"/>
  <c r="L395" i="19"/>
  <c r="M395" i="19"/>
  <c r="N395" i="19"/>
  <c r="O395" i="19"/>
  <c r="P395" i="19"/>
  <c r="Q395" i="19"/>
  <c r="R395" i="19"/>
  <c r="S395" i="19"/>
  <c r="T395" i="19"/>
  <c r="U395" i="19"/>
  <c r="J396" i="19"/>
  <c r="K396" i="19"/>
  <c r="L396" i="19"/>
  <c r="M396" i="19"/>
  <c r="N396" i="19"/>
  <c r="O396" i="19"/>
  <c r="P396" i="19"/>
  <c r="Q396" i="19"/>
  <c r="R396" i="19"/>
  <c r="S396" i="19"/>
  <c r="T396" i="19"/>
  <c r="U396" i="19"/>
  <c r="J397" i="19"/>
  <c r="K397" i="19"/>
  <c r="L397" i="19"/>
  <c r="M397" i="19"/>
  <c r="N397" i="19"/>
  <c r="O397" i="19"/>
  <c r="P397" i="19"/>
  <c r="Q397" i="19"/>
  <c r="R397" i="19"/>
  <c r="S397" i="19"/>
  <c r="T397" i="19"/>
  <c r="U397" i="19"/>
  <c r="J398" i="19"/>
  <c r="K398" i="19"/>
  <c r="L398" i="19"/>
  <c r="M398" i="19"/>
  <c r="N398" i="19"/>
  <c r="O398" i="19"/>
  <c r="P398" i="19"/>
  <c r="Q398" i="19"/>
  <c r="R398" i="19"/>
  <c r="S398" i="19"/>
  <c r="T398" i="19"/>
  <c r="U398" i="19"/>
  <c r="J399" i="19"/>
  <c r="K399" i="19"/>
  <c r="L399" i="19"/>
  <c r="M399" i="19"/>
  <c r="N399" i="19"/>
  <c r="O399" i="19"/>
  <c r="P399" i="19"/>
  <c r="Q399" i="19"/>
  <c r="R399" i="19"/>
  <c r="S399" i="19"/>
  <c r="T399" i="19"/>
  <c r="U399" i="19"/>
  <c r="J400" i="19"/>
  <c r="K400" i="19"/>
  <c r="L400" i="19"/>
  <c r="M400" i="19"/>
  <c r="N400" i="19"/>
  <c r="O400" i="19"/>
  <c r="P400" i="19"/>
  <c r="Q400" i="19"/>
  <c r="R400" i="19"/>
  <c r="S400" i="19"/>
  <c r="T400" i="19"/>
  <c r="U400" i="19"/>
  <c r="J401" i="19"/>
  <c r="K401" i="19"/>
  <c r="L401" i="19"/>
  <c r="M401" i="19"/>
  <c r="N401" i="19"/>
  <c r="O401" i="19"/>
  <c r="P401" i="19"/>
  <c r="Q401" i="19"/>
  <c r="R401" i="19"/>
  <c r="S401" i="19"/>
  <c r="T401" i="19"/>
  <c r="U401" i="19"/>
  <c r="J402" i="19"/>
  <c r="K402" i="19"/>
  <c r="L402" i="19"/>
  <c r="M402" i="19"/>
  <c r="N402" i="19"/>
  <c r="O402" i="19"/>
  <c r="P402" i="19"/>
  <c r="Q402" i="19"/>
  <c r="R402" i="19"/>
  <c r="S402" i="19"/>
  <c r="T402" i="19"/>
  <c r="U402" i="19"/>
  <c r="J403" i="19"/>
  <c r="F133" i="20" s="1"/>
  <c r="K403" i="19"/>
  <c r="G133" i="20" s="1"/>
  <c r="L403" i="19"/>
  <c r="H133" i="20" s="1"/>
  <c r="M403" i="19"/>
  <c r="I133" i="20" s="1"/>
  <c r="N403" i="19"/>
  <c r="J133" i="20" s="1"/>
  <c r="O403" i="19"/>
  <c r="K133" i="20" s="1"/>
  <c r="P403" i="19"/>
  <c r="L133" i="20" s="1"/>
  <c r="Q403" i="19"/>
  <c r="M133" i="20" s="1"/>
  <c r="R403" i="19"/>
  <c r="N133" i="20" s="1"/>
  <c r="S403" i="19"/>
  <c r="O133" i="20" s="1"/>
  <c r="T403" i="19"/>
  <c r="P133" i="20" s="1"/>
  <c r="U403" i="19"/>
  <c r="Q133" i="20" s="1"/>
  <c r="J404" i="19"/>
  <c r="K404" i="19"/>
  <c r="L404" i="19"/>
  <c r="M404" i="19"/>
  <c r="N404" i="19"/>
  <c r="O404" i="19"/>
  <c r="P404" i="19"/>
  <c r="Q404" i="19"/>
  <c r="R404" i="19"/>
  <c r="S404" i="19"/>
  <c r="T404" i="19"/>
  <c r="U404" i="19"/>
  <c r="J405" i="19"/>
  <c r="K405" i="19"/>
  <c r="L405" i="19"/>
  <c r="M405" i="19"/>
  <c r="N405" i="19"/>
  <c r="O405" i="19"/>
  <c r="P405" i="19"/>
  <c r="Q405" i="19"/>
  <c r="R405" i="19"/>
  <c r="S405" i="19"/>
  <c r="T405" i="19"/>
  <c r="U405" i="19"/>
  <c r="J406" i="19"/>
  <c r="K406" i="19"/>
  <c r="L406" i="19"/>
  <c r="M406" i="19"/>
  <c r="N406" i="19"/>
  <c r="O406" i="19"/>
  <c r="P406" i="19"/>
  <c r="Q406" i="19"/>
  <c r="R406" i="19"/>
  <c r="S406" i="19"/>
  <c r="T406" i="19"/>
  <c r="U406" i="19"/>
  <c r="J407" i="19"/>
  <c r="K407" i="19"/>
  <c r="L407" i="19"/>
  <c r="M407" i="19"/>
  <c r="N407" i="19"/>
  <c r="O407" i="19"/>
  <c r="P407" i="19"/>
  <c r="Q407" i="19"/>
  <c r="R407" i="19"/>
  <c r="S407" i="19"/>
  <c r="T407" i="19"/>
  <c r="U407" i="19"/>
  <c r="J408" i="19"/>
  <c r="K408" i="19"/>
  <c r="L408" i="19"/>
  <c r="M408" i="19"/>
  <c r="N408" i="19"/>
  <c r="O408" i="19"/>
  <c r="P408" i="19"/>
  <c r="Q408" i="19"/>
  <c r="R408" i="19"/>
  <c r="S408" i="19"/>
  <c r="T408" i="19"/>
  <c r="U408" i="19"/>
  <c r="J409" i="19"/>
  <c r="K409" i="19"/>
  <c r="L409" i="19"/>
  <c r="M409" i="19"/>
  <c r="N409" i="19"/>
  <c r="O409" i="19"/>
  <c r="P409" i="19"/>
  <c r="Q409" i="19"/>
  <c r="R409" i="19"/>
  <c r="S409" i="19"/>
  <c r="T409" i="19"/>
  <c r="U409" i="19"/>
  <c r="J410" i="19"/>
  <c r="K410" i="19"/>
  <c r="L410" i="19"/>
  <c r="M410" i="19"/>
  <c r="N410" i="19"/>
  <c r="O410" i="19"/>
  <c r="P410" i="19"/>
  <c r="Q410" i="19"/>
  <c r="R410" i="19"/>
  <c r="S410" i="19"/>
  <c r="T410" i="19"/>
  <c r="U410" i="19"/>
  <c r="J411" i="19"/>
  <c r="K411" i="19"/>
  <c r="L411" i="19"/>
  <c r="M411" i="19"/>
  <c r="N411" i="19"/>
  <c r="O411" i="19"/>
  <c r="P411" i="19"/>
  <c r="Q411" i="19"/>
  <c r="R411" i="19"/>
  <c r="S411" i="19"/>
  <c r="T411" i="19"/>
  <c r="U411" i="19"/>
  <c r="J412" i="19"/>
  <c r="K412" i="19"/>
  <c r="L412" i="19"/>
  <c r="M412" i="19"/>
  <c r="N412" i="19"/>
  <c r="O412" i="19"/>
  <c r="P412" i="19"/>
  <c r="Q412" i="19"/>
  <c r="R412" i="19"/>
  <c r="S412" i="19"/>
  <c r="T412" i="19"/>
  <c r="U412" i="19"/>
  <c r="J413" i="19"/>
  <c r="K413" i="19"/>
  <c r="L413" i="19"/>
  <c r="M413" i="19"/>
  <c r="N413" i="19"/>
  <c r="O413" i="19"/>
  <c r="P413" i="19"/>
  <c r="Q413" i="19"/>
  <c r="R413" i="19"/>
  <c r="S413" i="19"/>
  <c r="T413" i="19"/>
  <c r="U413" i="19"/>
  <c r="J414" i="19"/>
  <c r="K414" i="19"/>
  <c r="L414" i="19"/>
  <c r="M414" i="19"/>
  <c r="N414" i="19"/>
  <c r="O414" i="19"/>
  <c r="P414" i="19"/>
  <c r="Q414" i="19"/>
  <c r="R414" i="19"/>
  <c r="S414" i="19"/>
  <c r="T414" i="19"/>
  <c r="U414" i="19"/>
  <c r="J415" i="19"/>
  <c r="K415" i="19"/>
  <c r="L415" i="19"/>
  <c r="M415" i="19"/>
  <c r="N415" i="19"/>
  <c r="O415" i="19"/>
  <c r="P415" i="19"/>
  <c r="Q415" i="19"/>
  <c r="R415" i="19"/>
  <c r="S415" i="19"/>
  <c r="T415" i="19"/>
  <c r="U415" i="19"/>
  <c r="J416" i="19"/>
  <c r="K416" i="19"/>
  <c r="L416" i="19"/>
  <c r="M416" i="19"/>
  <c r="N416" i="19"/>
  <c r="O416" i="19"/>
  <c r="P416" i="19"/>
  <c r="Q416" i="19"/>
  <c r="R416" i="19"/>
  <c r="S416" i="19"/>
  <c r="T416" i="19"/>
  <c r="U416" i="19"/>
  <c r="J417" i="19"/>
  <c r="K417" i="19"/>
  <c r="L417" i="19"/>
  <c r="M417" i="19"/>
  <c r="N417" i="19"/>
  <c r="O417" i="19"/>
  <c r="P417" i="19"/>
  <c r="Q417" i="19"/>
  <c r="R417" i="19"/>
  <c r="S417" i="19"/>
  <c r="T417" i="19"/>
  <c r="U417" i="19"/>
  <c r="J418" i="19"/>
  <c r="K418" i="19"/>
  <c r="L418" i="19"/>
  <c r="M418" i="19"/>
  <c r="N418" i="19"/>
  <c r="O418" i="19"/>
  <c r="P418" i="19"/>
  <c r="Q418" i="19"/>
  <c r="R418" i="19"/>
  <c r="S418" i="19"/>
  <c r="T418" i="19"/>
  <c r="U418" i="19"/>
  <c r="J419" i="19"/>
  <c r="K419" i="19"/>
  <c r="L419" i="19"/>
  <c r="M419" i="19"/>
  <c r="N419" i="19"/>
  <c r="O419" i="19"/>
  <c r="P419" i="19"/>
  <c r="Q419" i="19"/>
  <c r="R419" i="19"/>
  <c r="S419" i="19"/>
  <c r="T419" i="19"/>
  <c r="U419" i="19"/>
  <c r="J420" i="19"/>
  <c r="K420" i="19"/>
  <c r="L420" i="19"/>
  <c r="M420" i="19"/>
  <c r="N420" i="19"/>
  <c r="O420" i="19"/>
  <c r="P420" i="19"/>
  <c r="Q420" i="19"/>
  <c r="R420" i="19"/>
  <c r="S420" i="19"/>
  <c r="T420" i="19"/>
  <c r="U420" i="19"/>
  <c r="J421" i="19"/>
  <c r="K421" i="19"/>
  <c r="L421" i="19"/>
  <c r="M421" i="19"/>
  <c r="N421" i="19"/>
  <c r="O421" i="19"/>
  <c r="P421" i="19"/>
  <c r="Q421" i="19"/>
  <c r="R421" i="19"/>
  <c r="S421" i="19"/>
  <c r="T421" i="19"/>
  <c r="U421" i="19"/>
  <c r="J422" i="19"/>
  <c r="K422" i="19"/>
  <c r="L422" i="19"/>
  <c r="M422" i="19"/>
  <c r="N422" i="19"/>
  <c r="O422" i="19"/>
  <c r="P422" i="19"/>
  <c r="Q422" i="19"/>
  <c r="R422" i="19"/>
  <c r="S422" i="19"/>
  <c r="T422" i="19"/>
  <c r="U422" i="19"/>
  <c r="J423" i="19"/>
  <c r="K423" i="19"/>
  <c r="L423" i="19"/>
  <c r="M423" i="19"/>
  <c r="N423" i="19"/>
  <c r="O423" i="19"/>
  <c r="P423" i="19"/>
  <c r="Q423" i="19"/>
  <c r="R423" i="19"/>
  <c r="S423" i="19"/>
  <c r="T423" i="19"/>
  <c r="U423" i="19"/>
  <c r="J424" i="19"/>
  <c r="K424" i="19"/>
  <c r="L424" i="19"/>
  <c r="M424" i="19"/>
  <c r="N424" i="19"/>
  <c r="O424" i="19"/>
  <c r="P424" i="19"/>
  <c r="Q424" i="19"/>
  <c r="R424" i="19"/>
  <c r="S424" i="19"/>
  <c r="T424" i="19"/>
  <c r="U424" i="19"/>
  <c r="J425" i="19"/>
  <c r="K425" i="19"/>
  <c r="L425" i="19"/>
  <c r="M425" i="19"/>
  <c r="N425" i="19"/>
  <c r="O425" i="19"/>
  <c r="P425" i="19"/>
  <c r="Q425" i="19"/>
  <c r="R425" i="19"/>
  <c r="S425" i="19"/>
  <c r="T425" i="19"/>
  <c r="U425" i="19"/>
  <c r="J426" i="19"/>
  <c r="K426" i="19"/>
  <c r="L426" i="19"/>
  <c r="M426" i="19"/>
  <c r="N426" i="19"/>
  <c r="O426" i="19"/>
  <c r="P426" i="19"/>
  <c r="Q426" i="19"/>
  <c r="R426" i="19"/>
  <c r="S426" i="19"/>
  <c r="T426" i="19"/>
  <c r="U426" i="19"/>
  <c r="J427" i="19"/>
  <c r="K427" i="19"/>
  <c r="L427" i="19"/>
  <c r="M427" i="19"/>
  <c r="N427" i="19"/>
  <c r="O427" i="19"/>
  <c r="P427" i="19"/>
  <c r="Q427" i="19"/>
  <c r="R427" i="19"/>
  <c r="S427" i="19"/>
  <c r="T427" i="19"/>
  <c r="U427" i="19"/>
  <c r="J428" i="19"/>
  <c r="K428" i="19"/>
  <c r="L428" i="19"/>
  <c r="M428" i="19"/>
  <c r="N428" i="19"/>
  <c r="O428" i="19"/>
  <c r="P428" i="19"/>
  <c r="Q428" i="19"/>
  <c r="R428" i="19"/>
  <c r="S428" i="19"/>
  <c r="T428" i="19"/>
  <c r="U428" i="19"/>
  <c r="J429" i="19"/>
  <c r="K429" i="19"/>
  <c r="L429" i="19"/>
  <c r="M429" i="19"/>
  <c r="N429" i="19"/>
  <c r="O429" i="19"/>
  <c r="P429" i="19"/>
  <c r="Q429" i="19"/>
  <c r="R429" i="19"/>
  <c r="S429" i="19"/>
  <c r="T429" i="19"/>
  <c r="U429" i="19"/>
  <c r="J430" i="19"/>
  <c r="K430" i="19"/>
  <c r="L430" i="19"/>
  <c r="M430" i="19"/>
  <c r="N430" i="19"/>
  <c r="O430" i="19"/>
  <c r="P430" i="19"/>
  <c r="Q430" i="19"/>
  <c r="R430" i="19"/>
  <c r="S430" i="19"/>
  <c r="T430" i="19"/>
  <c r="U430" i="19"/>
  <c r="J431" i="19"/>
  <c r="K431" i="19"/>
  <c r="L431" i="19"/>
  <c r="M431" i="19"/>
  <c r="N431" i="19"/>
  <c r="O431" i="19"/>
  <c r="P431" i="19"/>
  <c r="Q431" i="19"/>
  <c r="R431" i="19"/>
  <c r="S431" i="19"/>
  <c r="T431" i="19"/>
  <c r="U431" i="19"/>
  <c r="J432" i="19"/>
  <c r="K432" i="19"/>
  <c r="L432" i="19"/>
  <c r="M432" i="19"/>
  <c r="N432" i="19"/>
  <c r="O432" i="19"/>
  <c r="P432" i="19"/>
  <c r="Q432" i="19"/>
  <c r="R432" i="19"/>
  <c r="S432" i="19"/>
  <c r="T432" i="19"/>
  <c r="U432" i="19"/>
  <c r="J433" i="19"/>
  <c r="K433" i="19"/>
  <c r="L433" i="19"/>
  <c r="M433" i="19"/>
  <c r="N433" i="19"/>
  <c r="O433" i="19"/>
  <c r="P433" i="19"/>
  <c r="Q433" i="19"/>
  <c r="R433" i="19"/>
  <c r="S433" i="19"/>
  <c r="T433" i="19"/>
  <c r="U433" i="19"/>
  <c r="J434" i="19"/>
  <c r="K434" i="19"/>
  <c r="L434" i="19"/>
  <c r="M434" i="19"/>
  <c r="N434" i="19"/>
  <c r="O434" i="19"/>
  <c r="P434" i="19"/>
  <c r="Q434" i="19"/>
  <c r="R434" i="19"/>
  <c r="S434" i="19"/>
  <c r="T434" i="19"/>
  <c r="U434" i="19"/>
  <c r="J435" i="19"/>
  <c r="K435" i="19"/>
  <c r="L435" i="19"/>
  <c r="M435" i="19"/>
  <c r="N435" i="19"/>
  <c r="O435" i="19"/>
  <c r="P435" i="19"/>
  <c r="Q435" i="19"/>
  <c r="R435" i="19"/>
  <c r="S435" i="19"/>
  <c r="T435" i="19"/>
  <c r="U435" i="19"/>
  <c r="J436" i="19"/>
  <c r="K436" i="19"/>
  <c r="L436" i="19"/>
  <c r="M436" i="19"/>
  <c r="N436" i="19"/>
  <c r="O436" i="19"/>
  <c r="P436" i="19"/>
  <c r="Q436" i="19"/>
  <c r="R436" i="19"/>
  <c r="S436" i="19"/>
  <c r="T436" i="19"/>
  <c r="U436" i="19"/>
  <c r="J437" i="19"/>
  <c r="K437" i="19"/>
  <c r="L437" i="19"/>
  <c r="M437" i="19"/>
  <c r="N437" i="19"/>
  <c r="O437" i="19"/>
  <c r="P437" i="19"/>
  <c r="Q437" i="19"/>
  <c r="R437" i="19"/>
  <c r="S437" i="19"/>
  <c r="T437" i="19"/>
  <c r="U437" i="19"/>
  <c r="J438" i="19"/>
  <c r="K438" i="19"/>
  <c r="L438" i="19"/>
  <c r="M438" i="19"/>
  <c r="N438" i="19"/>
  <c r="O438" i="19"/>
  <c r="P438" i="19"/>
  <c r="Q438" i="19"/>
  <c r="R438" i="19"/>
  <c r="S438" i="19"/>
  <c r="T438" i="19"/>
  <c r="U438" i="19"/>
  <c r="J439" i="19"/>
  <c r="K439" i="19"/>
  <c r="L439" i="19"/>
  <c r="M439" i="19"/>
  <c r="N439" i="19"/>
  <c r="O439" i="19"/>
  <c r="P439" i="19"/>
  <c r="Q439" i="19"/>
  <c r="R439" i="19"/>
  <c r="S439" i="19"/>
  <c r="T439" i="19"/>
  <c r="U439" i="19"/>
  <c r="J440" i="19"/>
  <c r="K440" i="19"/>
  <c r="L440" i="19"/>
  <c r="M440" i="19"/>
  <c r="N440" i="19"/>
  <c r="O440" i="19"/>
  <c r="P440" i="19"/>
  <c r="Q440" i="19"/>
  <c r="R440" i="19"/>
  <c r="S440" i="19"/>
  <c r="T440" i="19"/>
  <c r="U440" i="19"/>
  <c r="J441" i="19"/>
  <c r="K441" i="19"/>
  <c r="L441" i="19"/>
  <c r="M441" i="19"/>
  <c r="N441" i="19"/>
  <c r="O441" i="19"/>
  <c r="P441" i="19"/>
  <c r="Q441" i="19"/>
  <c r="R441" i="19"/>
  <c r="S441" i="19"/>
  <c r="T441" i="19"/>
  <c r="U441" i="19"/>
  <c r="J442" i="19"/>
  <c r="K442" i="19"/>
  <c r="L442" i="19"/>
  <c r="M442" i="19"/>
  <c r="N442" i="19"/>
  <c r="O442" i="19"/>
  <c r="P442" i="19"/>
  <c r="Q442" i="19"/>
  <c r="R442" i="19"/>
  <c r="S442" i="19"/>
  <c r="T442" i="19"/>
  <c r="U442" i="19"/>
  <c r="J443" i="19"/>
  <c r="K443" i="19"/>
  <c r="L443" i="19"/>
  <c r="M443" i="19"/>
  <c r="N443" i="19"/>
  <c r="O443" i="19"/>
  <c r="P443" i="19"/>
  <c r="Q443" i="19"/>
  <c r="R443" i="19"/>
  <c r="S443" i="19"/>
  <c r="T443" i="19"/>
  <c r="U443" i="19"/>
  <c r="J444" i="19"/>
  <c r="K444" i="19"/>
  <c r="L444" i="19"/>
  <c r="M444" i="19"/>
  <c r="N444" i="19"/>
  <c r="O444" i="19"/>
  <c r="P444" i="19"/>
  <c r="Q444" i="19"/>
  <c r="R444" i="19"/>
  <c r="S444" i="19"/>
  <c r="T444" i="19"/>
  <c r="U444" i="19"/>
  <c r="J445" i="19"/>
  <c r="K445" i="19"/>
  <c r="L445" i="19"/>
  <c r="M445" i="19"/>
  <c r="N445" i="19"/>
  <c r="O445" i="19"/>
  <c r="P445" i="19"/>
  <c r="Q445" i="19"/>
  <c r="R445" i="19"/>
  <c r="S445" i="19"/>
  <c r="T445" i="19"/>
  <c r="U445" i="19"/>
  <c r="J446" i="19"/>
  <c r="K446" i="19"/>
  <c r="L446" i="19"/>
  <c r="M446" i="19"/>
  <c r="N446" i="19"/>
  <c r="O446" i="19"/>
  <c r="P446" i="19"/>
  <c r="Q446" i="19"/>
  <c r="R446" i="19"/>
  <c r="S446" i="19"/>
  <c r="T446" i="19"/>
  <c r="U446" i="19"/>
  <c r="J447" i="19"/>
  <c r="K447" i="19"/>
  <c r="L447" i="19"/>
  <c r="M447" i="19"/>
  <c r="N447" i="19"/>
  <c r="O447" i="19"/>
  <c r="P447" i="19"/>
  <c r="Q447" i="19"/>
  <c r="R447" i="19"/>
  <c r="S447" i="19"/>
  <c r="T447" i="19"/>
  <c r="U447" i="19"/>
  <c r="J448" i="19"/>
  <c r="K448" i="19"/>
  <c r="L448" i="19"/>
  <c r="M448" i="19"/>
  <c r="N448" i="19"/>
  <c r="O448" i="19"/>
  <c r="P448" i="19"/>
  <c r="Q448" i="19"/>
  <c r="R448" i="19"/>
  <c r="S448" i="19"/>
  <c r="T448" i="19"/>
  <c r="U448" i="19"/>
  <c r="J449" i="19"/>
  <c r="K449" i="19"/>
  <c r="L449" i="19"/>
  <c r="M449" i="19"/>
  <c r="N449" i="19"/>
  <c r="O449" i="19"/>
  <c r="P449" i="19"/>
  <c r="Q449" i="19"/>
  <c r="R449" i="19"/>
  <c r="S449" i="19"/>
  <c r="T449" i="19"/>
  <c r="U449" i="19"/>
  <c r="J450" i="19"/>
  <c r="K450" i="19"/>
  <c r="L450" i="19"/>
  <c r="M450" i="19"/>
  <c r="N450" i="19"/>
  <c r="O450" i="19"/>
  <c r="P450" i="19"/>
  <c r="Q450" i="19"/>
  <c r="R450" i="19"/>
  <c r="S450" i="19"/>
  <c r="T450" i="19"/>
  <c r="U450" i="19"/>
  <c r="J451" i="19"/>
  <c r="K451" i="19"/>
  <c r="L451" i="19"/>
  <c r="M451" i="19"/>
  <c r="N451" i="19"/>
  <c r="O451" i="19"/>
  <c r="P451" i="19"/>
  <c r="Q451" i="19"/>
  <c r="R451" i="19"/>
  <c r="S451" i="19"/>
  <c r="T451" i="19"/>
  <c r="U451" i="19"/>
  <c r="J452" i="19"/>
  <c r="K452" i="19"/>
  <c r="L452" i="19"/>
  <c r="M452" i="19"/>
  <c r="N452" i="19"/>
  <c r="O452" i="19"/>
  <c r="P452" i="19"/>
  <c r="Q452" i="19"/>
  <c r="R452" i="19"/>
  <c r="S452" i="19"/>
  <c r="T452" i="19"/>
  <c r="U452" i="19"/>
  <c r="J453" i="19"/>
  <c r="K453" i="19"/>
  <c r="L453" i="19"/>
  <c r="M453" i="19"/>
  <c r="N453" i="19"/>
  <c r="O453" i="19"/>
  <c r="P453" i="19"/>
  <c r="Q453" i="19"/>
  <c r="R453" i="19"/>
  <c r="S453" i="19"/>
  <c r="T453" i="19"/>
  <c r="U453" i="19"/>
  <c r="J454" i="19"/>
  <c r="K454" i="19"/>
  <c r="L454" i="19"/>
  <c r="M454" i="19"/>
  <c r="N454" i="19"/>
  <c r="O454" i="19"/>
  <c r="P454" i="19"/>
  <c r="Q454" i="19"/>
  <c r="R454" i="19"/>
  <c r="S454" i="19"/>
  <c r="T454" i="19"/>
  <c r="U454" i="19"/>
  <c r="J455" i="19"/>
  <c r="K455" i="19"/>
  <c r="L455" i="19"/>
  <c r="M455" i="19"/>
  <c r="N455" i="19"/>
  <c r="O455" i="19"/>
  <c r="P455" i="19"/>
  <c r="Q455" i="19"/>
  <c r="R455" i="19"/>
  <c r="S455" i="19"/>
  <c r="T455" i="19"/>
  <c r="U455" i="19"/>
  <c r="J456" i="19"/>
  <c r="K456" i="19"/>
  <c r="L456" i="19"/>
  <c r="M456" i="19"/>
  <c r="N456" i="19"/>
  <c r="O456" i="19"/>
  <c r="P456" i="19"/>
  <c r="Q456" i="19"/>
  <c r="R456" i="19"/>
  <c r="S456" i="19"/>
  <c r="T456" i="19"/>
  <c r="U456" i="19"/>
  <c r="J457" i="19"/>
  <c r="K457" i="19"/>
  <c r="L457" i="19"/>
  <c r="M457" i="19"/>
  <c r="N457" i="19"/>
  <c r="O457" i="19"/>
  <c r="P457" i="19"/>
  <c r="Q457" i="19"/>
  <c r="R457" i="19"/>
  <c r="S457" i="19"/>
  <c r="T457" i="19"/>
  <c r="U457" i="19"/>
  <c r="J458" i="19"/>
  <c r="K458" i="19"/>
  <c r="L458" i="19"/>
  <c r="M458" i="19"/>
  <c r="N458" i="19"/>
  <c r="O458" i="19"/>
  <c r="P458" i="19"/>
  <c r="Q458" i="19"/>
  <c r="R458" i="19"/>
  <c r="S458" i="19"/>
  <c r="T458" i="19"/>
  <c r="U458" i="19"/>
  <c r="J459" i="19"/>
  <c r="K459" i="19"/>
  <c r="L459" i="19"/>
  <c r="M459" i="19"/>
  <c r="N459" i="19"/>
  <c r="O459" i="19"/>
  <c r="P459" i="19"/>
  <c r="Q459" i="19"/>
  <c r="R459" i="19"/>
  <c r="S459" i="19"/>
  <c r="T459" i="19"/>
  <c r="U459" i="19"/>
  <c r="J460" i="19"/>
  <c r="K460" i="19"/>
  <c r="L460" i="19"/>
  <c r="M460" i="19"/>
  <c r="N460" i="19"/>
  <c r="O460" i="19"/>
  <c r="P460" i="19"/>
  <c r="Q460" i="19"/>
  <c r="R460" i="19"/>
  <c r="S460" i="19"/>
  <c r="T460" i="19"/>
  <c r="U460" i="19"/>
  <c r="J461" i="19"/>
  <c r="K461" i="19"/>
  <c r="L461" i="19"/>
  <c r="M461" i="19"/>
  <c r="N461" i="19"/>
  <c r="O461" i="19"/>
  <c r="P461" i="19"/>
  <c r="Q461" i="19"/>
  <c r="R461" i="19"/>
  <c r="S461" i="19"/>
  <c r="T461" i="19"/>
  <c r="U461" i="19"/>
  <c r="J462" i="19"/>
  <c r="K462" i="19"/>
  <c r="L462" i="19"/>
  <c r="M462" i="19"/>
  <c r="N462" i="19"/>
  <c r="O462" i="19"/>
  <c r="P462" i="19"/>
  <c r="Q462" i="19"/>
  <c r="R462" i="19"/>
  <c r="S462" i="19"/>
  <c r="T462" i="19"/>
  <c r="U462" i="19"/>
  <c r="J463" i="19"/>
  <c r="K463" i="19"/>
  <c r="L463" i="19"/>
  <c r="M463" i="19"/>
  <c r="N463" i="19"/>
  <c r="O463" i="19"/>
  <c r="P463" i="19"/>
  <c r="Q463" i="19"/>
  <c r="R463" i="19"/>
  <c r="S463" i="19"/>
  <c r="T463" i="19"/>
  <c r="U463" i="19"/>
  <c r="J464" i="19"/>
  <c r="K464" i="19"/>
  <c r="L464" i="19"/>
  <c r="M464" i="19"/>
  <c r="N464" i="19"/>
  <c r="O464" i="19"/>
  <c r="P464" i="19"/>
  <c r="Q464" i="19"/>
  <c r="R464" i="19"/>
  <c r="S464" i="19"/>
  <c r="T464" i="19"/>
  <c r="U464" i="19"/>
  <c r="J465" i="19"/>
  <c r="K465" i="19"/>
  <c r="L465" i="19"/>
  <c r="M465" i="19"/>
  <c r="N465" i="19"/>
  <c r="O465" i="19"/>
  <c r="P465" i="19"/>
  <c r="Q465" i="19"/>
  <c r="R465" i="19"/>
  <c r="S465" i="19"/>
  <c r="T465" i="19"/>
  <c r="U465" i="19"/>
  <c r="J466" i="19"/>
  <c r="K466" i="19"/>
  <c r="L466" i="19"/>
  <c r="M466" i="19"/>
  <c r="N466" i="19"/>
  <c r="O466" i="19"/>
  <c r="P466" i="19"/>
  <c r="Q466" i="19"/>
  <c r="R466" i="19"/>
  <c r="S466" i="19"/>
  <c r="T466" i="19"/>
  <c r="U466" i="19"/>
  <c r="J467" i="19"/>
  <c r="K467" i="19"/>
  <c r="L467" i="19"/>
  <c r="M467" i="19"/>
  <c r="N467" i="19"/>
  <c r="O467" i="19"/>
  <c r="P467" i="19"/>
  <c r="Q467" i="19"/>
  <c r="R467" i="19"/>
  <c r="S467" i="19"/>
  <c r="T467" i="19"/>
  <c r="U467" i="19"/>
  <c r="J468" i="19"/>
  <c r="K468" i="19"/>
  <c r="L468" i="19"/>
  <c r="M468" i="19"/>
  <c r="N468" i="19"/>
  <c r="O468" i="19"/>
  <c r="P468" i="19"/>
  <c r="Q468" i="19"/>
  <c r="R468" i="19"/>
  <c r="S468" i="19"/>
  <c r="T468" i="19"/>
  <c r="U468" i="19"/>
  <c r="J469" i="19"/>
  <c r="K469" i="19"/>
  <c r="L469" i="19"/>
  <c r="M469" i="19"/>
  <c r="N469" i="19"/>
  <c r="O469" i="19"/>
  <c r="P469" i="19"/>
  <c r="Q469" i="19"/>
  <c r="R469" i="19"/>
  <c r="S469" i="19"/>
  <c r="T469" i="19"/>
  <c r="U469" i="19"/>
  <c r="J470" i="19"/>
  <c r="K470" i="19"/>
  <c r="L470" i="19"/>
  <c r="M470" i="19"/>
  <c r="N470" i="19"/>
  <c r="O470" i="19"/>
  <c r="P470" i="19"/>
  <c r="Q470" i="19"/>
  <c r="R470" i="19"/>
  <c r="S470" i="19"/>
  <c r="T470" i="19"/>
  <c r="U470" i="19"/>
  <c r="J471" i="19"/>
  <c r="K471" i="19"/>
  <c r="L471" i="19"/>
  <c r="M471" i="19"/>
  <c r="N471" i="19"/>
  <c r="O471" i="19"/>
  <c r="P471" i="19"/>
  <c r="Q471" i="19"/>
  <c r="R471" i="19"/>
  <c r="S471" i="19"/>
  <c r="T471" i="19"/>
  <c r="U471" i="19"/>
  <c r="J472" i="19"/>
  <c r="K472" i="19"/>
  <c r="L472" i="19"/>
  <c r="M472" i="19"/>
  <c r="N472" i="19"/>
  <c r="O472" i="19"/>
  <c r="P472" i="19"/>
  <c r="Q472" i="19"/>
  <c r="R472" i="19"/>
  <c r="S472" i="19"/>
  <c r="T472" i="19"/>
  <c r="U472" i="19"/>
  <c r="J473" i="19"/>
  <c r="K473" i="19"/>
  <c r="L473" i="19"/>
  <c r="M473" i="19"/>
  <c r="N473" i="19"/>
  <c r="O473" i="19"/>
  <c r="P473" i="19"/>
  <c r="Q473" i="19"/>
  <c r="R473" i="19"/>
  <c r="S473" i="19"/>
  <c r="T473" i="19"/>
  <c r="U473" i="19"/>
  <c r="J474" i="19"/>
  <c r="K474" i="19"/>
  <c r="L474" i="19"/>
  <c r="M474" i="19"/>
  <c r="N474" i="19"/>
  <c r="O474" i="19"/>
  <c r="P474" i="19"/>
  <c r="Q474" i="19"/>
  <c r="R474" i="19"/>
  <c r="S474" i="19"/>
  <c r="T474" i="19"/>
  <c r="U474" i="19"/>
  <c r="J475" i="19"/>
  <c r="K475" i="19"/>
  <c r="L475" i="19"/>
  <c r="M475" i="19"/>
  <c r="N475" i="19"/>
  <c r="O475" i="19"/>
  <c r="P475" i="19"/>
  <c r="Q475" i="19"/>
  <c r="R475" i="19"/>
  <c r="S475" i="19"/>
  <c r="T475" i="19"/>
  <c r="U475" i="19"/>
  <c r="J476" i="19"/>
  <c r="K476" i="19"/>
  <c r="L476" i="19"/>
  <c r="M476" i="19"/>
  <c r="N476" i="19"/>
  <c r="O476" i="19"/>
  <c r="P476" i="19"/>
  <c r="Q476" i="19"/>
  <c r="R476" i="19"/>
  <c r="S476" i="19"/>
  <c r="T476" i="19"/>
  <c r="U476" i="19"/>
  <c r="J477" i="19"/>
  <c r="K477" i="19"/>
  <c r="L477" i="19"/>
  <c r="M477" i="19"/>
  <c r="N477" i="19"/>
  <c r="O477" i="19"/>
  <c r="P477" i="19"/>
  <c r="Q477" i="19"/>
  <c r="R477" i="19"/>
  <c r="S477" i="19"/>
  <c r="T477" i="19"/>
  <c r="U477" i="19"/>
  <c r="J478" i="19"/>
  <c r="K478" i="19"/>
  <c r="L478" i="19"/>
  <c r="M478" i="19"/>
  <c r="N478" i="19"/>
  <c r="O478" i="19"/>
  <c r="P478" i="19"/>
  <c r="Q478" i="19"/>
  <c r="R478" i="19"/>
  <c r="S478" i="19"/>
  <c r="T478" i="19"/>
  <c r="U478" i="19"/>
  <c r="J479" i="19"/>
  <c r="K479" i="19"/>
  <c r="L479" i="19"/>
  <c r="M479" i="19"/>
  <c r="N479" i="19"/>
  <c r="O479" i="19"/>
  <c r="P479" i="19"/>
  <c r="Q479" i="19"/>
  <c r="R479" i="19"/>
  <c r="S479" i="19"/>
  <c r="T479" i="19"/>
  <c r="U479" i="19"/>
  <c r="J480" i="19"/>
  <c r="K480" i="19"/>
  <c r="L480" i="19"/>
  <c r="M480" i="19"/>
  <c r="N480" i="19"/>
  <c r="O480" i="19"/>
  <c r="P480" i="19"/>
  <c r="Q480" i="19"/>
  <c r="R480" i="19"/>
  <c r="S480" i="19"/>
  <c r="T480" i="19"/>
  <c r="U480" i="19"/>
  <c r="J481" i="19"/>
  <c r="K481" i="19"/>
  <c r="L481" i="19"/>
  <c r="M481" i="19"/>
  <c r="N481" i="19"/>
  <c r="O481" i="19"/>
  <c r="P481" i="19"/>
  <c r="Q481" i="19"/>
  <c r="R481" i="19"/>
  <c r="S481" i="19"/>
  <c r="T481" i="19"/>
  <c r="U481" i="19"/>
  <c r="J482" i="19"/>
  <c r="K482" i="19"/>
  <c r="L482" i="19"/>
  <c r="M482" i="19"/>
  <c r="N482" i="19"/>
  <c r="O482" i="19"/>
  <c r="P482" i="19"/>
  <c r="Q482" i="19"/>
  <c r="R482" i="19"/>
  <c r="S482" i="19"/>
  <c r="T482" i="19"/>
  <c r="U482" i="19"/>
  <c r="J483" i="19"/>
  <c r="K483" i="19"/>
  <c r="L483" i="19"/>
  <c r="M483" i="19"/>
  <c r="N483" i="19"/>
  <c r="O483" i="19"/>
  <c r="P483" i="19"/>
  <c r="Q483" i="19"/>
  <c r="R483" i="19"/>
  <c r="S483" i="19"/>
  <c r="T483" i="19"/>
  <c r="U483" i="19"/>
  <c r="J484" i="19"/>
  <c r="K484" i="19"/>
  <c r="L484" i="19"/>
  <c r="M484" i="19"/>
  <c r="N484" i="19"/>
  <c r="O484" i="19"/>
  <c r="P484" i="19"/>
  <c r="Q484" i="19"/>
  <c r="R484" i="19"/>
  <c r="S484" i="19"/>
  <c r="T484" i="19"/>
  <c r="U484" i="19"/>
  <c r="J485" i="19"/>
  <c r="K485" i="19"/>
  <c r="L485" i="19"/>
  <c r="M485" i="19"/>
  <c r="N485" i="19"/>
  <c r="O485" i="19"/>
  <c r="P485" i="19"/>
  <c r="Q485" i="19"/>
  <c r="R485" i="19"/>
  <c r="S485" i="19"/>
  <c r="T485" i="19"/>
  <c r="U485" i="19"/>
  <c r="J486" i="19"/>
  <c r="K486" i="19"/>
  <c r="L486" i="19"/>
  <c r="M486" i="19"/>
  <c r="N486" i="19"/>
  <c r="O486" i="19"/>
  <c r="P486" i="19"/>
  <c r="Q486" i="19"/>
  <c r="R486" i="19"/>
  <c r="S486" i="19"/>
  <c r="T486" i="19"/>
  <c r="U486" i="19"/>
  <c r="J487" i="19"/>
  <c r="K487" i="19"/>
  <c r="L487" i="19"/>
  <c r="M487" i="19"/>
  <c r="N487" i="19"/>
  <c r="O487" i="19"/>
  <c r="P487" i="19"/>
  <c r="Q487" i="19"/>
  <c r="R487" i="19"/>
  <c r="S487" i="19"/>
  <c r="T487" i="19"/>
  <c r="U487" i="19"/>
  <c r="J488" i="19"/>
  <c r="K488" i="19"/>
  <c r="L488" i="19"/>
  <c r="M488" i="19"/>
  <c r="N488" i="19"/>
  <c r="O488" i="19"/>
  <c r="P488" i="19"/>
  <c r="Q488" i="19"/>
  <c r="R488" i="19"/>
  <c r="S488" i="19"/>
  <c r="T488" i="19"/>
  <c r="U488" i="19"/>
  <c r="J489" i="19"/>
  <c r="K489" i="19"/>
  <c r="L489" i="19"/>
  <c r="M489" i="19"/>
  <c r="N489" i="19"/>
  <c r="O489" i="19"/>
  <c r="P489" i="19"/>
  <c r="Q489" i="19"/>
  <c r="R489" i="19"/>
  <c r="S489" i="19"/>
  <c r="T489" i="19"/>
  <c r="U489" i="19"/>
  <c r="J490" i="19"/>
  <c r="K490" i="19"/>
  <c r="L490" i="19"/>
  <c r="M490" i="19"/>
  <c r="N490" i="19"/>
  <c r="O490" i="19"/>
  <c r="P490" i="19"/>
  <c r="Q490" i="19"/>
  <c r="R490" i="19"/>
  <c r="S490" i="19"/>
  <c r="T490" i="19"/>
  <c r="U490" i="19"/>
  <c r="J491" i="19"/>
  <c r="K491" i="19"/>
  <c r="L491" i="19"/>
  <c r="M491" i="19"/>
  <c r="N491" i="19"/>
  <c r="O491" i="19"/>
  <c r="P491" i="19"/>
  <c r="Q491" i="19"/>
  <c r="R491" i="19"/>
  <c r="S491" i="19"/>
  <c r="T491" i="19"/>
  <c r="U491" i="19"/>
  <c r="J492" i="19"/>
  <c r="K492" i="19"/>
  <c r="L492" i="19"/>
  <c r="M492" i="19"/>
  <c r="N492" i="19"/>
  <c r="O492" i="19"/>
  <c r="P492" i="19"/>
  <c r="Q492" i="19"/>
  <c r="R492" i="19"/>
  <c r="S492" i="19"/>
  <c r="T492" i="19"/>
  <c r="U492" i="19"/>
  <c r="J493" i="19"/>
  <c r="K493" i="19"/>
  <c r="L493" i="19"/>
  <c r="M493" i="19"/>
  <c r="N493" i="19"/>
  <c r="O493" i="19"/>
  <c r="P493" i="19"/>
  <c r="Q493" i="19"/>
  <c r="R493" i="19"/>
  <c r="S493" i="19"/>
  <c r="T493" i="19"/>
  <c r="U493" i="19"/>
  <c r="J494" i="19"/>
  <c r="K494" i="19"/>
  <c r="L494" i="19"/>
  <c r="M494" i="19"/>
  <c r="N494" i="19"/>
  <c r="O494" i="19"/>
  <c r="P494" i="19"/>
  <c r="Q494" i="19"/>
  <c r="R494" i="19"/>
  <c r="S494" i="19"/>
  <c r="T494" i="19"/>
  <c r="U494" i="19"/>
  <c r="J495" i="19"/>
  <c r="K495" i="19"/>
  <c r="L495" i="19"/>
  <c r="M495" i="19"/>
  <c r="N495" i="19"/>
  <c r="O495" i="19"/>
  <c r="P495" i="19"/>
  <c r="Q495" i="19"/>
  <c r="R495" i="19"/>
  <c r="S495" i="19"/>
  <c r="T495" i="19"/>
  <c r="U495" i="19"/>
  <c r="J496" i="19"/>
  <c r="K496" i="19"/>
  <c r="L496" i="19"/>
  <c r="M496" i="19"/>
  <c r="N496" i="19"/>
  <c r="O496" i="19"/>
  <c r="P496" i="19"/>
  <c r="Q496" i="19"/>
  <c r="R496" i="19"/>
  <c r="S496" i="19"/>
  <c r="T496" i="19"/>
  <c r="U496" i="19"/>
  <c r="J497" i="19"/>
  <c r="K497" i="19"/>
  <c r="L497" i="19"/>
  <c r="M497" i="19"/>
  <c r="N497" i="19"/>
  <c r="O497" i="19"/>
  <c r="P497" i="19"/>
  <c r="Q497" i="19"/>
  <c r="R497" i="19"/>
  <c r="S497" i="19"/>
  <c r="T497" i="19"/>
  <c r="U497" i="19"/>
  <c r="J498" i="19"/>
  <c r="K498" i="19"/>
  <c r="L498" i="19"/>
  <c r="M498" i="19"/>
  <c r="N498" i="19"/>
  <c r="O498" i="19"/>
  <c r="P498" i="19"/>
  <c r="Q498" i="19"/>
  <c r="R498" i="19"/>
  <c r="S498" i="19"/>
  <c r="T498" i="19"/>
  <c r="U498" i="19"/>
  <c r="J499" i="19"/>
  <c r="K499" i="19"/>
  <c r="L499" i="19"/>
  <c r="M499" i="19"/>
  <c r="N499" i="19"/>
  <c r="O499" i="19"/>
  <c r="P499" i="19"/>
  <c r="Q499" i="19"/>
  <c r="R499" i="19"/>
  <c r="S499" i="19"/>
  <c r="T499" i="19"/>
  <c r="U499" i="19"/>
  <c r="J500" i="19"/>
  <c r="K500" i="19"/>
  <c r="L500" i="19"/>
  <c r="M500" i="19"/>
  <c r="N500" i="19"/>
  <c r="O500" i="19"/>
  <c r="P500" i="19"/>
  <c r="Q500" i="19"/>
  <c r="R500" i="19"/>
  <c r="S500" i="19"/>
  <c r="T500" i="19"/>
  <c r="U500" i="19"/>
  <c r="J501" i="19"/>
  <c r="K501" i="19"/>
  <c r="L501" i="19"/>
  <c r="M501" i="19"/>
  <c r="N501" i="19"/>
  <c r="O501" i="19"/>
  <c r="P501" i="19"/>
  <c r="Q501" i="19"/>
  <c r="R501" i="19"/>
  <c r="S501" i="19"/>
  <c r="T501" i="19"/>
  <c r="U501" i="19"/>
  <c r="J502" i="19"/>
  <c r="K502" i="19"/>
  <c r="L502" i="19"/>
  <c r="M502" i="19"/>
  <c r="N502" i="19"/>
  <c r="O502" i="19"/>
  <c r="P502" i="19"/>
  <c r="Q502" i="19"/>
  <c r="R502" i="19"/>
  <c r="S502" i="19"/>
  <c r="T502" i="19"/>
  <c r="U502" i="19"/>
  <c r="J503" i="19"/>
  <c r="K503" i="19"/>
  <c r="L503" i="19"/>
  <c r="M503" i="19"/>
  <c r="N503" i="19"/>
  <c r="O503" i="19"/>
  <c r="P503" i="19"/>
  <c r="Q503" i="19"/>
  <c r="R503" i="19"/>
  <c r="S503" i="19"/>
  <c r="T503" i="19"/>
  <c r="U503" i="19"/>
  <c r="J504" i="19"/>
  <c r="K504" i="19"/>
  <c r="L504" i="19"/>
  <c r="M504" i="19"/>
  <c r="N504" i="19"/>
  <c r="O504" i="19"/>
  <c r="P504" i="19"/>
  <c r="Q504" i="19"/>
  <c r="R504" i="19"/>
  <c r="S504" i="19"/>
  <c r="T504" i="19"/>
  <c r="U504" i="19"/>
  <c r="J505" i="19"/>
  <c r="K505" i="19"/>
  <c r="L505" i="19"/>
  <c r="M505" i="19"/>
  <c r="N505" i="19"/>
  <c r="O505" i="19"/>
  <c r="P505" i="19"/>
  <c r="Q505" i="19"/>
  <c r="R505" i="19"/>
  <c r="S505" i="19"/>
  <c r="T505" i="19"/>
  <c r="U505" i="19"/>
  <c r="J506" i="19"/>
  <c r="K506" i="19"/>
  <c r="L506" i="19"/>
  <c r="M506" i="19"/>
  <c r="N506" i="19"/>
  <c r="O506" i="19"/>
  <c r="P506" i="19"/>
  <c r="Q506" i="19"/>
  <c r="R506" i="19"/>
  <c r="S506" i="19"/>
  <c r="T506" i="19"/>
  <c r="U506" i="19"/>
  <c r="J507" i="19"/>
  <c r="K507" i="19"/>
  <c r="L507" i="19"/>
  <c r="M507" i="19"/>
  <c r="N507" i="19"/>
  <c r="O507" i="19"/>
  <c r="P507" i="19"/>
  <c r="Q507" i="19"/>
  <c r="R507" i="19"/>
  <c r="S507" i="19"/>
  <c r="T507" i="19"/>
  <c r="U507" i="19"/>
  <c r="J508" i="19"/>
  <c r="K508" i="19"/>
  <c r="L508" i="19"/>
  <c r="M508" i="19"/>
  <c r="N508" i="19"/>
  <c r="O508" i="19"/>
  <c r="P508" i="19"/>
  <c r="Q508" i="19"/>
  <c r="R508" i="19"/>
  <c r="S508" i="19"/>
  <c r="T508" i="19"/>
  <c r="U508" i="19"/>
  <c r="J509" i="19"/>
  <c r="K509" i="19"/>
  <c r="L509" i="19"/>
  <c r="M509" i="19"/>
  <c r="N509" i="19"/>
  <c r="O509" i="19"/>
  <c r="P509" i="19"/>
  <c r="Q509" i="19"/>
  <c r="R509" i="19"/>
  <c r="S509" i="19"/>
  <c r="T509" i="19"/>
  <c r="U509" i="19"/>
  <c r="J510" i="19"/>
  <c r="K510" i="19"/>
  <c r="L510" i="19"/>
  <c r="M510" i="19"/>
  <c r="N510" i="19"/>
  <c r="O510" i="19"/>
  <c r="P510" i="19"/>
  <c r="Q510" i="19"/>
  <c r="R510" i="19"/>
  <c r="S510" i="19"/>
  <c r="T510" i="19"/>
  <c r="U510" i="19"/>
  <c r="J511" i="19"/>
  <c r="K511" i="19"/>
  <c r="L511" i="19"/>
  <c r="M511" i="19"/>
  <c r="N511" i="19"/>
  <c r="O511" i="19"/>
  <c r="P511" i="19"/>
  <c r="Q511" i="19"/>
  <c r="R511" i="19"/>
  <c r="S511" i="19"/>
  <c r="T511" i="19"/>
  <c r="U511" i="19"/>
  <c r="J512" i="19"/>
  <c r="K512" i="19"/>
  <c r="L512" i="19"/>
  <c r="M512" i="19"/>
  <c r="N512" i="19"/>
  <c r="O512" i="19"/>
  <c r="P512" i="19"/>
  <c r="Q512" i="19"/>
  <c r="R512" i="19"/>
  <c r="S512" i="19"/>
  <c r="T512" i="19"/>
  <c r="U512" i="19"/>
  <c r="J513" i="19"/>
  <c r="K513" i="19"/>
  <c r="L513" i="19"/>
  <c r="M513" i="19"/>
  <c r="N513" i="19"/>
  <c r="O513" i="19"/>
  <c r="P513" i="19"/>
  <c r="Q513" i="19"/>
  <c r="R513" i="19"/>
  <c r="S513" i="19"/>
  <c r="T513" i="19"/>
  <c r="U513" i="19"/>
  <c r="J514" i="19"/>
  <c r="K514" i="19"/>
  <c r="L514" i="19"/>
  <c r="M514" i="19"/>
  <c r="N514" i="19"/>
  <c r="O514" i="19"/>
  <c r="P514" i="19"/>
  <c r="Q514" i="19"/>
  <c r="R514" i="19"/>
  <c r="S514" i="19"/>
  <c r="T514" i="19"/>
  <c r="U514" i="19"/>
  <c r="J515" i="19"/>
  <c r="K515" i="19"/>
  <c r="L515" i="19"/>
  <c r="M515" i="19"/>
  <c r="N515" i="19"/>
  <c r="O515" i="19"/>
  <c r="P515" i="19"/>
  <c r="Q515" i="19"/>
  <c r="R515" i="19"/>
  <c r="S515" i="19"/>
  <c r="T515" i="19"/>
  <c r="U515" i="19"/>
  <c r="J516" i="19"/>
  <c r="K516" i="19"/>
  <c r="L516" i="19"/>
  <c r="M516" i="19"/>
  <c r="N516" i="19"/>
  <c r="O516" i="19"/>
  <c r="P516" i="19"/>
  <c r="Q516" i="19"/>
  <c r="R516" i="19"/>
  <c r="S516" i="19"/>
  <c r="T516" i="19"/>
  <c r="U516" i="19"/>
  <c r="J517" i="19"/>
  <c r="K517" i="19"/>
  <c r="L517" i="19"/>
  <c r="M517" i="19"/>
  <c r="N517" i="19"/>
  <c r="O517" i="19"/>
  <c r="P517" i="19"/>
  <c r="Q517" i="19"/>
  <c r="R517" i="19"/>
  <c r="S517" i="19"/>
  <c r="T517" i="19"/>
  <c r="U517" i="19"/>
  <c r="J518" i="19"/>
  <c r="K518" i="19"/>
  <c r="L518" i="19"/>
  <c r="M518" i="19"/>
  <c r="N518" i="19"/>
  <c r="O518" i="19"/>
  <c r="P518" i="19"/>
  <c r="Q518" i="19"/>
  <c r="R518" i="19"/>
  <c r="S518" i="19"/>
  <c r="T518" i="19"/>
  <c r="U518" i="19"/>
  <c r="J519" i="19"/>
  <c r="K519" i="19"/>
  <c r="L519" i="19"/>
  <c r="M519" i="19"/>
  <c r="N519" i="19"/>
  <c r="O519" i="19"/>
  <c r="P519" i="19"/>
  <c r="Q519" i="19"/>
  <c r="R519" i="19"/>
  <c r="S519" i="19"/>
  <c r="T519" i="19"/>
  <c r="U519" i="19"/>
  <c r="J520" i="19"/>
  <c r="K520" i="19"/>
  <c r="L520" i="19"/>
  <c r="M520" i="19"/>
  <c r="N520" i="19"/>
  <c r="O520" i="19"/>
  <c r="P520" i="19"/>
  <c r="Q520" i="19"/>
  <c r="R520" i="19"/>
  <c r="S520" i="19"/>
  <c r="T520" i="19"/>
  <c r="U520" i="19"/>
  <c r="J521" i="19"/>
  <c r="K521" i="19"/>
  <c r="L521" i="19"/>
  <c r="M521" i="19"/>
  <c r="N521" i="19"/>
  <c r="O521" i="19"/>
  <c r="P521" i="19"/>
  <c r="Q521" i="19"/>
  <c r="R521" i="19"/>
  <c r="S521" i="19"/>
  <c r="T521" i="19"/>
  <c r="U521" i="19"/>
  <c r="J522" i="19"/>
  <c r="K522" i="19"/>
  <c r="L522" i="19"/>
  <c r="M522" i="19"/>
  <c r="N522" i="19"/>
  <c r="O522" i="19"/>
  <c r="P522" i="19"/>
  <c r="Q522" i="19"/>
  <c r="R522" i="19"/>
  <c r="S522" i="19"/>
  <c r="T522" i="19"/>
  <c r="U522" i="19"/>
  <c r="J523" i="19"/>
  <c r="K523" i="19"/>
  <c r="L523" i="19"/>
  <c r="M523" i="19"/>
  <c r="N523" i="19"/>
  <c r="O523" i="19"/>
  <c r="P523" i="19"/>
  <c r="Q523" i="19"/>
  <c r="R523" i="19"/>
  <c r="S523" i="19"/>
  <c r="T523" i="19"/>
  <c r="U523" i="19"/>
  <c r="J524" i="19"/>
  <c r="K524" i="19"/>
  <c r="L524" i="19"/>
  <c r="M524" i="19"/>
  <c r="N524" i="19"/>
  <c r="O524" i="19"/>
  <c r="P524" i="19"/>
  <c r="Q524" i="19"/>
  <c r="R524" i="19"/>
  <c r="S524" i="19"/>
  <c r="T524" i="19"/>
  <c r="U524" i="19"/>
  <c r="J525" i="19"/>
  <c r="K525" i="19"/>
  <c r="L525" i="19"/>
  <c r="M525" i="19"/>
  <c r="N525" i="19"/>
  <c r="O525" i="19"/>
  <c r="P525" i="19"/>
  <c r="Q525" i="19"/>
  <c r="R525" i="19"/>
  <c r="S525" i="19"/>
  <c r="T525" i="19"/>
  <c r="U525" i="19"/>
  <c r="J526" i="19"/>
  <c r="K526" i="19"/>
  <c r="L526" i="19"/>
  <c r="M526" i="19"/>
  <c r="N526" i="19"/>
  <c r="O526" i="19"/>
  <c r="P526" i="19"/>
  <c r="Q526" i="19"/>
  <c r="R526" i="19"/>
  <c r="S526" i="19"/>
  <c r="T526" i="19"/>
  <c r="U526" i="19"/>
  <c r="J527" i="19"/>
  <c r="K527" i="19"/>
  <c r="L527" i="19"/>
  <c r="M527" i="19"/>
  <c r="N527" i="19"/>
  <c r="O527" i="19"/>
  <c r="P527" i="19"/>
  <c r="Q527" i="19"/>
  <c r="R527" i="19"/>
  <c r="S527" i="19"/>
  <c r="T527" i="19"/>
  <c r="U527" i="19"/>
  <c r="J528" i="19"/>
  <c r="K528" i="19"/>
  <c r="L528" i="19"/>
  <c r="M528" i="19"/>
  <c r="N528" i="19"/>
  <c r="O528" i="19"/>
  <c r="P528" i="19"/>
  <c r="Q528" i="19"/>
  <c r="R528" i="19"/>
  <c r="S528" i="19"/>
  <c r="T528" i="19"/>
  <c r="U528" i="19"/>
  <c r="J529" i="19"/>
  <c r="K529" i="19"/>
  <c r="L529" i="19"/>
  <c r="M529" i="19"/>
  <c r="N529" i="19"/>
  <c r="O529" i="19"/>
  <c r="P529" i="19"/>
  <c r="Q529" i="19"/>
  <c r="R529" i="19"/>
  <c r="S529" i="19"/>
  <c r="T529" i="19"/>
  <c r="U529" i="19"/>
  <c r="J530" i="19"/>
  <c r="K530" i="19"/>
  <c r="L530" i="19"/>
  <c r="M530" i="19"/>
  <c r="N530" i="19"/>
  <c r="O530" i="19"/>
  <c r="P530" i="19"/>
  <c r="Q530" i="19"/>
  <c r="R530" i="19"/>
  <c r="S530" i="19"/>
  <c r="T530" i="19"/>
  <c r="U530" i="19"/>
  <c r="J531" i="19"/>
  <c r="K531" i="19"/>
  <c r="L531" i="19"/>
  <c r="M531" i="19"/>
  <c r="N531" i="19"/>
  <c r="O531" i="19"/>
  <c r="P531" i="19"/>
  <c r="Q531" i="19"/>
  <c r="R531" i="19"/>
  <c r="S531" i="19"/>
  <c r="T531" i="19"/>
  <c r="U531" i="19"/>
  <c r="J532" i="19"/>
  <c r="K532" i="19"/>
  <c r="L532" i="19"/>
  <c r="M532" i="19"/>
  <c r="N532" i="19"/>
  <c r="O532" i="19"/>
  <c r="P532" i="19"/>
  <c r="Q532" i="19"/>
  <c r="R532" i="19"/>
  <c r="S532" i="19"/>
  <c r="T532" i="19"/>
  <c r="U532" i="19"/>
  <c r="J533" i="19"/>
  <c r="K533" i="19"/>
  <c r="L533" i="19"/>
  <c r="M533" i="19"/>
  <c r="N533" i="19"/>
  <c r="O533" i="19"/>
  <c r="P533" i="19"/>
  <c r="Q533" i="19"/>
  <c r="R533" i="19"/>
  <c r="S533" i="19"/>
  <c r="T533" i="19"/>
  <c r="U533" i="19"/>
  <c r="J534" i="19"/>
  <c r="K534" i="19"/>
  <c r="L534" i="19"/>
  <c r="M534" i="19"/>
  <c r="N534" i="19"/>
  <c r="O534" i="19"/>
  <c r="P534" i="19"/>
  <c r="Q534" i="19"/>
  <c r="R534" i="19"/>
  <c r="S534" i="19"/>
  <c r="T534" i="19"/>
  <c r="U534" i="19"/>
  <c r="J535" i="19"/>
  <c r="K535" i="19"/>
  <c r="L535" i="19"/>
  <c r="M535" i="19"/>
  <c r="N535" i="19"/>
  <c r="O535" i="19"/>
  <c r="P535" i="19"/>
  <c r="Q535" i="19"/>
  <c r="R535" i="19"/>
  <c r="S535" i="19"/>
  <c r="T535" i="19"/>
  <c r="U535" i="19"/>
  <c r="J536" i="19"/>
  <c r="K536" i="19"/>
  <c r="L536" i="19"/>
  <c r="M536" i="19"/>
  <c r="N536" i="19"/>
  <c r="O536" i="19"/>
  <c r="P536" i="19"/>
  <c r="Q536" i="19"/>
  <c r="R536" i="19"/>
  <c r="S536" i="19"/>
  <c r="T536" i="19"/>
  <c r="U536" i="19"/>
  <c r="J537" i="19"/>
  <c r="K537" i="19"/>
  <c r="L537" i="19"/>
  <c r="M537" i="19"/>
  <c r="N537" i="19"/>
  <c r="O537" i="19"/>
  <c r="P537" i="19"/>
  <c r="Q537" i="19"/>
  <c r="R537" i="19"/>
  <c r="S537" i="19"/>
  <c r="T537" i="19"/>
  <c r="U537" i="19"/>
  <c r="J538" i="19"/>
  <c r="K538" i="19"/>
  <c r="L538" i="19"/>
  <c r="M538" i="19"/>
  <c r="N538" i="19"/>
  <c r="O538" i="19"/>
  <c r="P538" i="19"/>
  <c r="Q538" i="19"/>
  <c r="R538" i="19"/>
  <c r="S538" i="19"/>
  <c r="T538" i="19"/>
  <c r="U538" i="19"/>
  <c r="J539" i="19"/>
  <c r="K539" i="19"/>
  <c r="L539" i="19"/>
  <c r="M539" i="19"/>
  <c r="N539" i="19"/>
  <c r="O539" i="19"/>
  <c r="P539" i="19"/>
  <c r="Q539" i="19"/>
  <c r="R539" i="19"/>
  <c r="S539" i="19"/>
  <c r="T539" i="19"/>
  <c r="U539" i="19"/>
  <c r="J540" i="19"/>
  <c r="K540" i="19"/>
  <c r="L540" i="19"/>
  <c r="M540" i="19"/>
  <c r="N540" i="19"/>
  <c r="O540" i="19"/>
  <c r="P540" i="19"/>
  <c r="Q540" i="19"/>
  <c r="R540" i="19"/>
  <c r="S540" i="19"/>
  <c r="T540" i="19"/>
  <c r="U540" i="19"/>
  <c r="J541" i="19"/>
  <c r="F134" i="20" s="1"/>
  <c r="K541" i="19"/>
  <c r="G134" i="20" s="1"/>
  <c r="L541" i="19"/>
  <c r="H134" i="20" s="1"/>
  <c r="M541" i="19"/>
  <c r="I134" i="20" s="1"/>
  <c r="N541" i="19"/>
  <c r="J134" i="20" s="1"/>
  <c r="O541" i="19"/>
  <c r="K134" i="20" s="1"/>
  <c r="P541" i="19"/>
  <c r="L134" i="20" s="1"/>
  <c r="Q541" i="19"/>
  <c r="M134" i="20" s="1"/>
  <c r="R541" i="19"/>
  <c r="N134" i="20" s="1"/>
  <c r="S541" i="19"/>
  <c r="O134" i="20" s="1"/>
  <c r="T541" i="19"/>
  <c r="P134" i="20" s="1"/>
  <c r="U541" i="19"/>
  <c r="Q134" i="20" s="1"/>
  <c r="J542" i="19"/>
  <c r="K542" i="19"/>
  <c r="L542" i="19"/>
  <c r="M542" i="19"/>
  <c r="N542" i="19"/>
  <c r="O542" i="19"/>
  <c r="P542" i="19"/>
  <c r="Q542" i="19"/>
  <c r="R542" i="19"/>
  <c r="S542" i="19"/>
  <c r="T542" i="19"/>
  <c r="U542" i="19"/>
  <c r="J543" i="19"/>
  <c r="K543" i="19"/>
  <c r="L543" i="19"/>
  <c r="M543" i="19"/>
  <c r="N543" i="19"/>
  <c r="O543" i="19"/>
  <c r="P543" i="19"/>
  <c r="Q543" i="19"/>
  <c r="R543" i="19"/>
  <c r="S543" i="19"/>
  <c r="T543" i="19"/>
  <c r="U543" i="19"/>
  <c r="J544" i="19"/>
  <c r="K544" i="19"/>
  <c r="L544" i="19"/>
  <c r="M544" i="19"/>
  <c r="N544" i="19"/>
  <c r="O544" i="19"/>
  <c r="P544" i="19"/>
  <c r="Q544" i="19"/>
  <c r="R544" i="19"/>
  <c r="S544" i="19"/>
  <c r="T544" i="19"/>
  <c r="U544" i="19"/>
  <c r="J545" i="19"/>
  <c r="K545" i="19"/>
  <c r="L545" i="19"/>
  <c r="M545" i="19"/>
  <c r="N545" i="19"/>
  <c r="O545" i="19"/>
  <c r="P545" i="19"/>
  <c r="Q545" i="19"/>
  <c r="R545" i="19"/>
  <c r="S545" i="19"/>
  <c r="T545" i="19"/>
  <c r="U545" i="19"/>
  <c r="J546" i="19"/>
  <c r="K546" i="19"/>
  <c r="L546" i="19"/>
  <c r="M546" i="19"/>
  <c r="N546" i="19"/>
  <c r="O546" i="19"/>
  <c r="P546" i="19"/>
  <c r="Q546" i="19"/>
  <c r="R546" i="19"/>
  <c r="S546" i="19"/>
  <c r="T546" i="19"/>
  <c r="U546" i="19"/>
  <c r="J547" i="19"/>
  <c r="K547" i="19"/>
  <c r="L547" i="19"/>
  <c r="M547" i="19"/>
  <c r="N547" i="19"/>
  <c r="O547" i="19"/>
  <c r="P547" i="19"/>
  <c r="Q547" i="19"/>
  <c r="R547" i="19"/>
  <c r="S547" i="19"/>
  <c r="T547" i="19"/>
  <c r="U547" i="19"/>
  <c r="J548" i="19"/>
  <c r="K548" i="19"/>
  <c r="L548" i="19"/>
  <c r="M548" i="19"/>
  <c r="N548" i="19"/>
  <c r="O548" i="19"/>
  <c r="P548" i="19"/>
  <c r="Q548" i="19"/>
  <c r="R548" i="19"/>
  <c r="S548" i="19"/>
  <c r="T548" i="19"/>
  <c r="U548" i="19"/>
  <c r="J549" i="19"/>
  <c r="K549" i="19"/>
  <c r="L549" i="19"/>
  <c r="M549" i="19"/>
  <c r="N549" i="19"/>
  <c r="O549" i="19"/>
  <c r="P549" i="19"/>
  <c r="Q549" i="19"/>
  <c r="R549" i="19"/>
  <c r="S549" i="19"/>
  <c r="T549" i="19"/>
  <c r="U549" i="19"/>
  <c r="J550" i="19"/>
  <c r="K550" i="19"/>
  <c r="L550" i="19"/>
  <c r="M550" i="19"/>
  <c r="N550" i="19"/>
  <c r="O550" i="19"/>
  <c r="P550" i="19"/>
  <c r="Q550" i="19"/>
  <c r="R550" i="19"/>
  <c r="S550" i="19"/>
  <c r="T550" i="19"/>
  <c r="U550" i="19"/>
  <c r="J551" i="19"/>
  <c r="K551" i="19"/>
  <c r="L551" i="19"/>
  <c r="M551" i="19"/>
  <c r="N551" i="19"/>
  <c r="O551" i="19"/>
  <c r="P551" i="19"/>
  <c r="Q551" i="19"/>
  <c r="R551" i="19"/>
  <c r="S551" i="19"/>
  <c r="T551" i="19"/>
  <c r="U551" i="19"/>
  <c r="J552" i="19"/>
  <c r="K552" i="19"/>
  <c r="L552" i="19"/>
  <c r="M552" i="19"/>
  <c r="N552" i="19"/>
  <c r="O552" i="19"/>
  <c r="P552" i="19"/>
  <c r="Q552" i="19"/>
  <c r="R552" i="19"/>
  <c r="S552" i="19"/>
  <c r="T552" i="19"/>
  <c r="U552" i="19"/>
  <c r="J553" i="19"/>
  <c r="K553" i="19"/>
  <c r="L553" i="19"/>
  <c r="M553" i="19"/>
  <c r="N553" i="19"/>
  <c r="O553" i="19"/>
  <c r="P553" i="19"/>
  <c r="Q553" i="19"/>
  <c r="R553" i="19"/>
  <c r="S553" i="19"/>
  <c r="T553" i="19"/>
  <c r="U553" i="19"/>
  <c r="J554" i="19"/>
  <c r="K554" i="19"/>
  <c r="L554" i="19"/>
  <c r="M554" i="19"/>
  <c r="N554" i="19"/>
  <c r="O554" i="19"/>
  <c r="P554" i="19"/>
  <c r="Q554" i="19"/>
  <c r="R554" i="19"/>
  <c r="S554" i="19"/>
  <c r="T554" i="19"/>
  <c r="U554" i="19"/>
  <c r="J555" i="19"/>
  <c r="K555" i="19"/>
  <c r="L555" i="19"/>
  <c r="M555" i="19"/>
  <c r="N555" i="19"/>
  <c r="O555" i="19"/>
  <c r="P555" i="19"/>
  <c r="Q555" i="19"/>
  <c r="R555" i="19"/>
  <c r="S555" i="19"/>
  <c r="T555" i="19"/>
  <c r="U555" i="19"/>
  <c r="J556" i="19"/>
  <c r="K556" i="19"/>
  <c r="L556" i="19"/>
  <c r="M556" i="19"/>
  <c r="N556" i="19"/>
  <c r="O556" i="19"/>
  <c r="P556" i="19"/>
  <c r="Q556" i="19"/>
  <c r="R556" i="19"/>
  <c r="S556" i="19"/>
  <c r="T556" i="19"/>
  <c r="U556" i="19"/>
  <c r="J557" i="19"/>
  <c r="K557" i="19"/>
  <c r="L557" i="19"/>
  <c r="M557" i="19"/>
  <c r="N557" i="19"/>
  <c r="O557" i="19"/>
  <c r="P557" i="19"/>
  <c r="Q557" i="19"/>
  <c r="R557" i="19"/>
  <c r="S557" i="19"/>
  <c r="T557" i="19"/>
  <c r="U557" i="19"/>
  <c r="J558" i="19"/>
  <c r="K558" i="19"/>
  <c r="L558" i="19"/>
  <c r="M558" i="19"/>
  <c r="N558" i="19"/>
  <c r="O558" i="19"/>
  <c r="P558" i="19"/>
  <c r="Q558" i="19"/>
  <c r="R558" i="19"/>
  <c r="S558" i="19"/>
  <c r="T558" i="19"/>
  <c r="U558" i="19"/>
  <c r="J559" i="19"/>
  <c r="K559" i="19"/>
  <c r="L559" i="19"/>
  <c r="M559" i="19"/>
  <c r="N559" i="19"/>
  <c r="O559" i="19"/>
  <c r="P559" i="19"/>
  <c r="Q559" i="19"/>
  <c r="R559" i="19"/>
  <c r="S559" i="19"/>
  <c r="T559" i="19"/>
  <c r="U559" i="19"/>
  <c r="J560" i="19"/>
  <c r="K560" i="19"/>
  <c r="L560" i="19"/>
  <c r="M560" i="19"/>
  <c r="N560" i="19"/>
  <c r="O560" i="19"/>
  <c r="P560" i="19"/>
  <c r="Q560" i="19"/>
  <c r="R560" i="19"/>
  <c r="S560" i="19"/>
  <c r="T560" i="19"/>
  <c r="U560" i="19"/>
  <c r="J561" i="19"/>
  <c r="K561" i="19"/>
  <c r="L561" i="19"/>
  <c r="M561" i="19"/>
  <c r="N561" i="19"/>
  <c r="O561" i="19"/>
  <c r="P561" i="19"/>
  <c r="Q561" i="19"/>
  <c r="R561" i="19"/>
  <c r="S561" i="19"/>
  <c r="T561" i="19"/>
  <c r="U561" i="19"/>
  <c r="J562" i="19"/>
  <c r="K562" i="19"/>
  <c r="L562" i="19"/>
  <c r="M562" i="19"/>
  <c r="N562" i="19"/>
  <c r="O562" i="19"/>
  <c r="P562" i="19"/>
  <c r="Q562" i="19"/>
  <c r="R562" i="19"/>
  <c r="S562" i="19"/>
  <c r="T562" i="19"/>
  <c r="U562" i="19"/>
  <c r="J563" i="19"/>
  <c r="K563" i="19"/>
  <c r="L563" i="19"/>
  <c r="M563" i="19"/>
  <c r="N563" i="19"/>
  <c r="O563" i="19"/>
  <c r="P563" i="19"/>
  <c r="Q563" i="19"/>
  <c r="R563" i="19"/>
  <c r="S563" i="19"/>
  <c r="T563" i="19"/>
  <c r="U563" i="19"/>
  <c r="J564" i="19"/>
  <c r="K564" i="19"/>
  <c r="L564" i="19"/>
  <c r="M564" i="19"/>
  <c r="N564" i="19"/>
  <c r="O564" i="19"/>
  <c r="P564" i="19"/>
  <c r="Q564" i="19"/>
  <c r="R564" i="19"/>
  <c r="S564" i="19"/>
  <c r="T564" i="19"/>
  <c r="U564" i="19"/>
  <c r="J565" i="19"/>
  <c r="K565" i="19"/>
  <c r="L565" i="19"/>
  <c r="M565" i="19"/>
  <c r="N565" i="19"/>
  <c r="O565" i="19"/>
  <c r="P565" i="19"/>
  <c r="Q565" i="19"/>
  <c r="R565" i="19"/>
  <c r="S565" i="19"/>
  <c r="T565" i="19"/>
  <c r="U565" i="19"/>
  <c r="J566" i="19"/>
  <c r="K566" i="19"/>
  <c r="L566" i="19"/>
  <c r="M566" i="19"/>
  <c r="N566" i="19"/>
  <c r="O566" i="19"/>
  <c r="P566" i="19"/>
  <c r="Q566" i="19"/>
  <c r="R566" i="19"/>
  <c r="S566" i="19"/>
  <c r="T566" i="19"/>
  <c r="U566" i="19"/>
  <c r="J567" i="19"/>
  <c r="K567" i="19"/>
  <c r="L567" i="19"/>
  <c r="M567" i="19"/>
  <c r="N567" i="19"/>
  <c r="O567" i="19"/>
  <c r="P567" i="19"/>
  <c r="Q567" i="19"/>
  <c r="R567" i="19"/>
  <c r="S567" i="19"/>
  <c r="T567" i="19"/>
  <c r="U567" i="19"/>
  <c r="J568" i="19"/>
  <c r="K568" i="19"/>
  <c r="L568" i="19"/>
  <c r="M568" i="19"/>
  <c r="N568" i="19"/>
  <c r="O568" i="19"/>
  <c r="P568" i="19"/>
  <c r="Q568" i="19"/>
  <c r="R568" i="19"/>
  <c r="S568" i="19"/>
  <c r="T568" i="19"/>
  <c r="U568" i="19"/>
  <c r="J569" i="19"/>
  <c r="K569" i="19"/>
  <c r="L569" i="19"/>
  <c r="M569" i="19"/>
  <c r="N569" i="19"/>
  <c r="O569" i="19"/>
  <c r="P569" i="19"/>
  <c r="Q569" i="19"/>
  <c r="R569" i="19"/>
  <c r="S569" i="19"/>
  <c r="T569" i="19"/>
  <c r="U569" i="19"/>
  <c r="J570" i="19"/>
  <c r="K570" i="19"/>
  <c r="L570" i="19"/>
  <c r="M570" i="19"/>
  <c r="N570" i="19"/>
  <c r="O570" i="19"/>
  <c r="P570" i="19"/>
  <c r="Q570" i="19"/>
  <c r="R570" i="19"/>
  <c r="S570" i="19"/>
  <c r="T570" i="19"/>
  <c r="U570" i="19"/>
  <c r="J571" i="19"/>
  <c r="K571" i="19"/>
  <c r="L571" i="19"/>
  <c r="M571" i="19"/>
  <c r="N571" i="19"/>
  <c r="O571" i="19"/>
  <c r="P571" i="19"/>
  <c r="Q571" i="19"/>
  <c r="R571" i="19"/>
  <c r="S571" i="19"/>
  <c r="T571" i="19"/>
  <c r="U571" i="19"/>
  <c r="J572" i="19"/>
  <c r="K572" i="19"/>
  <c r="L572" i="19"/>
  <c r="M572" i="19"/>
  <c r="N572" i="19"/>
  <c r="O572" i="19"/>
  <c r="P572" i="19"/>
  <c r="Q572" i="19"/>
  <c r="R572" i="19"/>
  <c r="S572" i="19"/>
  <c r="T572" i="19"/>
  <c r="U572" i="19"/>
  <c r="J573" i="19"/>
  <c r="K573" i="19"/>
  <c r="L573" i="19"/>
  <c r="M573" i="19"/>
  <c r="N573" i="19"/>
  <c r="O573" i="19"/>
  <c r="P573" i="19"/>
  <c r="Q573" i="19"/>
  <c r="R573" i="19"/>
  <c r="S573" i="19"/>
  <c r="T573" i="19"/>
  <c r="U573" i="19"/>
  <c r="J574" i="19"/>
  <c r="K574" i="19"/>
  <c r="L574" i="19"/>
  <c r="M574" i="19"/>
  <c r="N574" i="19"/>
  <c r="O574" i="19"/>
  <c r="P574" i="19"/>
  <c r="Q574" i="19"/>
  <c r="R574" i="19"/>
  <c r="S574" i="19"/>
  <c r="T574" i="19"/>
  <c r="U574" i="19"/>
  <c r="J575" i="19"/>
  <c r="K575" i="19"/>
  <c r="L575" i="19"/>
  <c r="M575" i="19"/>
  <c r="N575" i="19"/>
  <c r="O575" i="19"/>
  <c r="P575" i="19"/>
  <c r="Q575" i="19"/>
  <c r="R575" i="19"/>
  <c r="S575" i="19"/>
  <c r="T575" i="19"/>
  <c r="U575" i="19"/>
  <c r="J576" i="19"/>
  <c r="K576" i="19"/>
  <c r="L576" i="19"/>
  <c r="M576" i="19"/>
  <c r="N576" i="19"/>
  <c r="O576" i="19"/>
  <c r="P576" i="19"/>
  <c r="Q576" i="19"/>
  <c r="R576" i="19"/>
  <c r="S576" i="19"/>
  <c r="T576" i="19"/>
  <c r="U576" i="19"/>
  <c r="J577" i="19"/>
  <c r="K577" i="19"/>
  <c r="L577" i="19"/>
  <c r="M577" i="19"/>
  <c r="N577" i="19"/>
  <c r="O577" i="19"/>
  <c r="P577" i="19"/>
  <c r="Q577" i="19"/>
  <c r="R577" i="19"/>
  <c r="S577" i="19"/>
  <c r="T577" i="19"/>
  <c r="U577" i="19"/>
  <c r="J578" i="19"/>
  <c r="K578" i="19"/>
  <c r="L578" i="19"/>
  <c r="M578" i="19"/>
  <c r="N578" i="19"/>
  <c r="O578" i="19"/>
  <c r="P578" i="19"/>
  <c r="Q578" i="19"/>
  <c r="R578" i="19"/>
  <c r="S578" i="19"/>
  <c r="T578" i="19"/>
  <c r="U578" i="19"/>
  <c r="J579" i="19"/>
  <c r="K579" i="19"/>
  <c r="L579" i="19"/>
  <c r="M579" i="19"/>
  <c r="N579" i="19"/>
  <c r="O579" i="19"/>
  <c r="P579" i="19"/>
  <c r="Q579" i="19"/>
  <c r="R579" i="19"/>
  <c r="S579" i="19"/>
  <c r="T579" i="19"/>
  <c r="U579" i="19"/>
  <c r="J580" i="19"/>
  <c r="K580" i="19"/>
  <c r="L580" i="19"/>
  <c r="M580" i="19"/>
  <c r="N580" i="19"/>
  <c r="O580" i="19"/>
  <c r="P580" i="19"/>
  <c r="Q580" i="19"/>
  <c r="R580" i="19"/>
  <c r="S580" i="19"/>
  <c r="T580" i="19"/>
  <c r="U580" i="19"/>
  <c r="J581" i="19"/>
  <c r="K581" i="19"/>
  <c r="L581" i="19"/>
  <c r="M581" i="19"/>
  <c r="N581" i="19"/>
  <c r="O581" i="19"/>
  <c r="P581" i="19"/>
  <c r="Q581" i="19"/>
  <c r="R581" i="19"/>
  <c r="S581" i="19"/>
  <c r="T581" i="19"/>
  <c r="U581" i="19"/>
  <c r="J582" i="19"/>
  <c r="K582" i="19"/>
  <c r="L582" i="19"/>
  <c r="M582" i="19"/>
  <c r="N582" i="19"/>
  <c r="O582" i="19"/>
  <c r="P582" i="19"/>
  <c r="Q582" i="19"/>
  <c r="R582" i="19"/>
  <c r="S582" i="19"/>
  <c r="T582" i="19"/>
  <c r="U582" i="19"/>
  <c r="J583" i="19"/>
  <c r="K583" i="19"/>
  <c r="L583" i="19"/>
  <c r="M583" i="19"/>
  <c r="N583" i="19"/>
  <c r="O583" i="19"/>
  <c r="P583" i="19"/>
  <c r="Q583" i="19"/>
  <c r="R583" i="19"/>
  <c r="S583" i="19"/>
  <c r="T583" i="19"/>
  <c r="U583" i="19"/>
  <c r="J584" i="19"/>
  <c r="K584" i="19"/>
  <c r="L584" i="19"/>
  <c r="M584" i="19"/>
  <c r="N584" i="19"/>
  <c r="O584" i="19"/>
  <c r="P584" i="19"/>
  <c r="Q584" i="19"/>
  <c r="R584" i="19"/>
  <c r="S584" i="19"/>
  <c r="T584" i="19"/>
  <c r="U584" i="19"/>
  <c r="J585" i="19"/>
  <c r="K585" i="19"/>
  <c r="L585" i="19"/>
  <c r="M585" i="19"/>
  <c r="N585" i="19"/>
  <c r="O585" i="19"/>
  <c r="P585" i="19"/>
  <c r="Q585" i="19"/>
  <c r="R585" i="19"/>
  <c r="S585" i="19"/>
  <c r="T585" i="19"/>
  <c r="U585" i="19"/>
  <c r="J586" i="19"/>
  <c r="K586" i="19"/>
  <c r="L586" i="19"/>
  <c r="M586" i="19"/>
  <c r="N586" i="19"/>
  <c r="O586" i="19"/>
  <c r="P586" i="19"/>
  <c r="Q586" i="19"/>
  <c r="R586" i="19"/>
  <c r="S586" i="19"/>
  <c r="T586" i="19"/>
  <c r="U586" i="19"/>
  <c r="J587" i="19"/>
  <c r="K587" i="19"/>
  <c r="L587" i="19"/>
  <c r="M587" i="19"/>
  <c r="N587" i="19"/>
  <c r="O587" i="19"/>
  <c r="P587" i="19"/>
  <c r="Q587" i="19"/>
  <c r="R587" i="19"/>
  <c r="S587" i="19"/>
  <c r="T587" i="19"/>
  <c r="U587" i="19"/>
  <c r="J588" i="19"/>
  <c r="K588" i="19"/>
  <c r="L588" i="19"/>
  <c r="M588" i="19"/>
  <c r="N588" i="19"/>
  <c r="O588" i="19"/>
  <c r="P588" i="19"/>
  <c r="Q588" i="19"/>
  <c r="R588" i="19"/>
  <c r="S588" i="19"/>
  <c r="T588" i="19"/>
  <c r="U588" i="19"/>
  <c r="J589" i="19"/>
  <c r="K589" i="19"/>
  <c r="L589" i="19"/>
  <c r="M589" i="19"/>
  <c r="N589" i="19"/>
  <c r="O589" i="19"/>
  <c r="P589" i="19"/>
  <c r="Q589" i="19"/>
  <c r="R589" i="19"/>
  <c r="S589" i="19"/>
  <c r="T589" i="19"/>
  <c r="U589" i="19"/>
  <c r="J590" i="19"/>
  <c r="K590" i="19"/>
  <c r="L590" i="19"/>
  <c r="M590" i="19"/>
  <c r="N590" i="19"/>
  <c r="O590" i="19"/>
  <c r="P590" i="19"/>
  <c r="Q590" i="19"/>
  <c r="R590" i="19"/>
  <c r="S590" i="19"/>
  <c r="T590" i="19"/>
  <c r="U590" i="19"/>
  <c r="J591" i="19"/>
  <c r="K591" i="19"/>
  <c r="L591" i="19"/>
  <c r="M591" i="19"/>
  <c r="N591" i="19"/>
  <c r="O591" i="19"/>
  <c r="P591" i="19"/>
  <c r="Q591" i="19"/>
  <c r="R591" i="19"/>
  <c r="S591" i="19"/>
  <c r="T591" i="19"/>
  <c r="U591" i="19"/>
  <c r="J592" i="19"/>
  <c r="K592" i="19"/>
  <c r="L592" i="19"/>
  <c r="M592" i="19"/>
  <c r="N592" i="19"/>
  <c r="O592" i="19"/>
  <c r="P592" i="19"/>
  <c r="Q592" i="19"/>
  <c r="R592" i="19"/>
  <c r="S592" i="19"/>
  <c r="T592" i="19"/>
  <c r="U592" i="19"/>
  <c r="J593" i="19"/>
  <c r="K593" i="19"/>
  <c r="L593" i="19"/>
  <c r="M593" i="19"/>
  <c r="N593" i="19"/>
  <c r="O593" i="19"/>
  <c r="P593" i="19"/>
  <c r="Q593" i="19"/>
  <c r="R593" i="19"/>
  <c r="S593" i="19"/>
  <c r="T593" i="19"/>
  <c r="U593" i="19"/>
  <c r="J594" i="19"/>
  <c r="K594" i="19"/>
  <c r="L594" i="19"/>
  <c r="M594" i="19"/>
  <c r="N594" i="19"/>
  <c r="O594" i="19"/>
  <c r="P594" i="19"/>
  <c r="Q594" i="19"/>
  <c r="R594" i="19"/>
  <c r="S594" i="19"/>
  <c r="T594" i="19"/>
  <c r="U594" i="19"/>
  <c r="J595" i="19"/>
  <c r="K595" i="19"/>
  <c r="L595" i="19"/>
  <c r="M595" i="19"/>
  <c r="N595" i="19"/>
  <c r="O595" i="19"/>
  <c r="P595" i="19"/>
  <c r="Q595" i="19"/>
  <c r="R595" i="19"/>
  <c r="S595" i="19"/>
  <c r="T595" i="19"/>
  <c r="U595" i="19"/>
  <c r="J596" i="19"/>
  <c r="K596" i="19"/>
  <c r="L596" i="19"/>
  <c r="M596" i="19"/>
  <c r="N596" i="19"/>
  <c r="O596" i="19"/>
  <c r="P596" i="19"/>
  <c r="Q596" i="19"/>
  <c r="R596" i="19"/>
  <c r="S596" i="19"/>
  <c r="T596" i="19"/>
  <c r="U596" i="19"/>
  <c r="J597" i="19"/>
  <c r="K597" i="19"/>
  <c r="L597" i="19"/>
  <c r="M597" i="19"/>
  <c r="N597" i="19"/>
  <c r="O597" i="19"/>
  <c r="P597" i="19"/>
  <c r="Q597" i="19"/>
  <c r="R597" i="19"/>
  <c r="S597" i="19"/>
  <c r="T597" i="19"/>
  <c r="U597" i="19"/>
  <c r="J598" i="19"/>
  <c r="K598" i="19"/>
  <c r="L598" i="19"/>
  <c r="M598" i="19"/>
  <c r="N598" i="19"/>
  <c r="O598" i="19"/>
  <c r="P598" i="19"/>
  <c r="Q598" i="19"/>
  <c r="R598" i="19"/>
  <c r="S598" i="19"/>
  <c r="T598" i="19"/>
  <c r="U598" i="19"/>
  <c r="J599" i="19"/>
  <c r="K599" i="19"/>
  <c r="L599" i="19"/>
  <c r="M599" i="19"/>
  <c r="N599" i="19"/>
  <c r="O599" i="19"/>
  <c r="P599" i="19"/>
  <c r="Q599" i="19"/>
  <c r="R599" i="19"/>
  <c r="S599" i="19"/>
  <c r="T599" i="19"/>
  <c r="U599" i="19"/>
  <c r="J600" i="19"/>
  <c r="K600" i="19"/>
  <c r="L600" i="19"/>
  <c r="M600" i="19"/>
  <c r="N600" i="19"/>
  <c r="O600" i="19"/>
  <c r="P600" i="19"/>
  <c r="Q600" i="19"/>
  <c r="R600" i="19"/>
  <c r="S600" i="19"/>
  <c r="T600" i="19"/>
  <c r="U600" i="19"/>
  <c r="J601" i="19"/>
  <c r="K601" i="19"/>
  <c r="L601" i="19"/>
  <c r="M601" i="19"/>
  <c r="N601" i="19"/>
  <c r="O601" i="19"/>
  <c r="P601" i="19"/>
  <c r="Q601" i="19"/>
  <c r="R601" i="19"/>
  <c r="S601" i="19"/>
  <c r="T601" i="19"/>
  <c r="U601" i="19"/>
  <c r="J602" i="19"/>
  <c r="K602" i="19"/>
  <c r="L602" i="19"/>
  <c r="M602" i="19"/>
  <c r="N602" i="19"/>
  <c r="O602" i="19"/>
  <c r="P602" i="19"/>
  <c r="Q602" i="19"/>
  <c r="R602" i="19"/>
  <c r="S602" i="19"/>
  <c r="T602" i="19"/>
  <c r="U602" i="19"/>
  <c r="J603" i="19"/>
  <c r="K603" i="19"/>
  <c r="L603" i="19"/>
  <c r="M603" i="19"/>
  <c r="N603" i="19"/>
  <c r="O603" i="19"/>
  <c r="P603" i="19"/>
  <c r="Q603" i="19"/>
  <c r="R603" i="19"/>
  <c r="S603" i="19"/>
  <c r="T603" i="19"/>
  <c r="U603" i="19"/>
  <c r="J604" i="19"/>
  <c r="K604" i="19"/>
  <c r="L604" i="19"/>
  <c r="M604" i="19"/>
  <c r="N604" i="19"/>
  <c r="O604" i="19"/>
  <c r="P604" i="19"/>
  <c r="Q604" i="19"/>
  <c r="R604" i="19"/>
  <c r="S604" i="19"/>
  <c r="T604" i="19"/>
  <c r="U604" i="19"/>
  <c r="J605" i="19"/>
  <c r="K605" i="19"/>
  <c r="L605" i="19"/>
  <c r="M605" i="19"/>
  <c r="N605" i="19"/>
  <c r="O605" i="19"/>
  <c r="P605" i="19"/>
  <c r="Q605" i="19"/>
  <c r="R605" i="19"/>
  <c r="S605" i="19"/>
  <c r="T605" i="19"/>
  <c r="U605" i="19"/>
  <c r="J606" i="19"/>
  <c r="K606" i="19"/>
  <c r="L606" i="19"/>
  <c r="M606" i="19"/>
  <c r="N606" i="19"/>
  <c r="O606" i="19"/>
  <c r="P606" i="19"/>
  <c r="Q606" i="19"/>
  <c r="R606" i="19"/>
  <c r="S606" i="19"/>
  <c r="T606" i="19"/>
  <c r="U606" i="19"/>
  <c r="J607" i="19"/>
  <c r="K607" i="19"/>
  <c r="L607" i="19"/>
  <c r="M607" i="19"/>
  <c r="N607" i="19"/>
  <c r="O607" i="19"/>
  <c r="P607" i="19"/>
  <c r="Q607" i="19"/>
  <c r="R607" i="19"/>
  <c r="S607" i="19"/>
  <c r="T607" i="19"/>
  <c r="U607" i="19"/>
  <c r="J608" i="19"/>
  <c r="K608" i="19"/>
  <c r="L608" i="19"/>
  <c r="M608" i="19"/>
  <c r="N608" i="19"/>
  <c r="O608" i="19"/>
  <c r="P608" i="19"/>
  <c r="Q608" i="19"/>
  <c r="R608" i="19"/>
  <c r="S608" i="19"/>
  <c r="T608" i="19"/>
  <c r="U608" i="19"/>
  <c r="J609" i="19"/>
  <c r="K609" i="19"/>
  <c r="L609" i="19"/>
  <c r="M609" i="19"/>
  <c r="N609" i="19"/>
  <c r="O609" i="19"/>
  <c r="P609" i="19"/>
  <c r="Q609" i="19"/>
  <c r="R609" i="19"/>
  <c r="S609" i="19"/>
  <c r="T609" i="19"/>
  <c r="U609" i="19"/>
  <c r="J610" i="19"/>
  <c r="K610" i="19"/>
  <c r="L610" i="19"/>
  <c r="M610" i="19"/>
  <c r="N610" i="19"/>
  <c r="O610" i="19"/>
  <c r="P610" i="19"/>
  <c r="Q610" i="19"/>
  <c r="R610" i="19"/>
  <c r="S610" i="19"/>
  <c r="T610" i="19"/>
  <c r="U610" i="19"/>
  <c r="J611" i="19"/>
  <c r="K611" i="19"/>
  <c r="L611" i="19"/>
  <c r="M611" i="19"/>
  <c r="N611" i="19"/>
  <c r="O611" i="19"/>
  <c r="P611" i="19"/>
  <c r="Q611" i="19"/>
  <c r="R611" i="19"/>
  <c r="S611" i="19"/>
  <c r="T611" i="19"/>
  <c r="U611" i="19"/>
  <c r="J612" i="19"/>
  <c r="K612" i="19"/>
  <c r="L612" i="19"/>
  <c r="M612" i="19"/>
  <c r="N612" i="19"/>
  <c r="O612" i="19"/>
  <c r="P612" i="19"/>
  <c r="Q612" i="19"/>
  <c r="R612" i="19"/>
  <c r="S612" i="19"/>
  <c r="T612" i="19"/>
  <c r="U612" i="19"/>
  <c r="J613" i="19"/>
  <c r="K613" i="19"/>
  <c r="L613" i="19"/>
  <c r="M613" i="19"/>
  <c r="N613" i="19"/>
  <c r="O613" i="19"/>
  <c r="P613" i="19"/>
  <c r="Q613" i="19"/>
  <c r="R613" i="19"/>
  <c r="S613" i="19"/>
  <c r="T613" i="19"/>
  <c r="U613" i="19"/>
  <c r="J614" i="19"/>
  <c r="K614" i="19"/>
  <c r="L614" i="19"/>
  <c r="M614" i="19"/>
  <c r="N614" i="19"/>
  <c r="O614" i="19"/>
  <c r="P614" i="19"/>
  <c r="Q614" i="19"/>
  <c r="R614" i="19"/>
  <c r="S614" i="19"/>
  <c r="T614" i="19"/>
  <c r="U614" i="19"/>
  <c r="J615" i="19"/>
  <c r="K615" i="19"/>
  <c r="L615" i="19"/>
  <c r="M615" i="19"/>
  <c r="N615" i="19"/>
  <c r="O615" i="19"/>
  <c r="P615" i="19"/>
  <c r="Q615" i="19"/>
  <c r="R615" i="19"/>
  <c r="S615" i="19"/>
  <c r="T615" i="19"/>
  <c r="U615" i="19"/>
  <c r="J616" i="19"/>
  <c r="K616" i="19"/>
  <c r="L616" i="19"/>
  <c r="M616" i="19"/>
  <c r="N616" i="19"/>
  <c r="O616" i="19"/>
  <c r="P616" i="19"/>
  <c r="Q616" i="19"/>
  <c r="R616" i="19"/>
  <c r="S616" i="19"/>
  <c r="T616" i="19"/>
  <c r="U616" i="19"/>
  <c r="J617" i="19"/>
  <c r="K617" i="19"/>
  <c r="L617" i="19"/>
  <c r="M617" i="19"/>
  <c r="N617" i="19"/>
  <c r="O617" i="19"/>
  <c r="P617" i="19"/>
  <c r="Q617" i="19"/>
  <c r="R617" i="19"/>
  <c r="S617" i="19"/>
  <c r="T617" i="19"/>
  <c r="U617" i="19"/>
  <c r="J618" i="19"/>
  <c r="K618" i="19"/>
  <c r="L618" i="19"/>
  <c r="M618" i="19"/>
  <c r="N618" i="19"/>
  <c r="O618" i="19"/>
  <c r="P618" i="19"/>
  <c r="Q618" i="19"/>
  <c r="R618" i="19"/>
  <c r="S618" i="19"/>
  <c r="T618" i="19"/>
  <c r="U618" i="19"/>
  <c r="J619" i="19"/>
  <c r="K619" i="19"/>
  <c r="L619" i="19"/>
  <c r="M619" i="19"/>
  <c r="N619" i="19"/>
  <c r="O619" i="19"/>
  <c r="P619" i="19"/>
  <c r="Q619" i="19"/>
  <c r="R619" i="19"/>
  <c r="S619" i="19"/>
  <c r="T619" i="19"/>
  <c r="U619" i="19"/>
  <c r="J620" i="19"/>
  <c r="K620" i="19"/>
  <c r="L620" i="19"/>
  <c r="M620" i="19"/>
  <c r="N620" i="19"/>
  <c r="O620" i="19"/>
  <c r="P620" i="19"/>
  <c r="Q620" i="19"/>
  <c r="R620" i="19"/>
  <c r="S620" i="19"/>
  <c r="T620" i="19"/>
  <c r="U620" i="19"/>
  <c r="J621" i="19"/>
  <c r="K621" i="19"/>
  <c r="L621" i="19"/>
  <c r="M621" i="19"/>
  <c r="N621" i="19"/>
  <c r="O621" i="19"/>
  <c r="P621" i="19"/>
  <c r="Q621" i="19"/>
  <c r="R621" i="19"/>
  <c r="S621" i="19"/>
  <c r="T621" i="19"/>
  <c r="U621" i="19"/>
  <c r="J622" i="19"/>
  <c r="K622" i="19"/>
  <c r="L622" i="19"/>
  <c r="M622" i="19"/>
  <c r="N622" i="19"/>
  <c r="O622" i="19"/>
  <c r="P622" i="19"/>
  <c r="Q622" i="19"/>
  <c r="R622" i="19"/>
  <c r="S622" i="19"/>
  <c r="T622" i="19"/>
  <c r="U622" i="19"/>
  <c r="J623" i="19"/>
  <c r="K623" i="19"/>
  <c r="L623" i="19"/>
  <c r="M623" i="19"/>
  <c r="N623" i="19"/>
  <c r="O623" i="19"/>
  <c r="P623" i="19"/>
  <c r="Q623" i="19"/>
  <c r="R623" i="19"/>
  <c r="S623" i="19"/>
  <c r="T623" i="19"/>
  <c r="U623" i="19"/>
  <c r="J624" i="19"/>
  <c r="K624" i="19"/>
  <c r="L624" i="19"/>
  <c r="M624" i="19"/>
  <c r="N624" i="19"/>
  <c r="O624" i="19"/>
  <c r="P624" i="19"/>
  <c r="Q624" i="19"/>
  <c r="R624" i="19"/>
  <c r="S624" i="19"/>
  <c r="T624" i="19"/>
  <c r="U624" i="19"/>
  <c r="J625" i="19"/>
  <c r="K625" i="19"/>
  <c r="L625" i="19"/>
  <c r="M625" i="19"/>
  <c r="N625" i="19"/>
  <c r="O625" i="19"/>
  <c r="P625" i="19"/>
  <c r="Q625" i="19"/>
  <c r="R625" i="19"/>
  <c r="S625" i="19"/>
  <c r="T625" i="19"/>
  <c r="U625" i="19"/>
  <c r="J626" i="19"/>
  <c r="K626" i="19"/>
  <c r="L626" i="19"/>
  <c r="M626" i="19"/>
  <c r="N626" i="19"/>
  <c r="O626" i="19"/>
  <c r="P626" i="19"/>
  <c r="Q626" i="19"/>
  <c r="R626" i="19"/>
  <c r="S626" i="19"/>
  <c r="T626" i="19"/>
  <c r="U626" i="19"/>
  <c r="J627" i="19"/>
  <c r="K627" i="19"/>
  <c r="L627" i="19"/>
  <c r="M627" i="19"/>
  <c r="N627" i="19"/>
  <c r="O627" i="19"/>
  <c r="P627" i="19"/>
  <c r="Q627" i="19"/>
  <c r="R627" i="19"/>
  <c r="S627" i="19"/>
  <c r="T627" i="19"/>
  <c r="U627" i="19"/>
  <c r="J628" i="19"/>
  <c r="K628" i="19"/>
  <c r="L628" i="19"/>
  <c r="M628" i="19"/>
  <c r="N628" i="19"/>
  <c r="O628" i="19"/>
  <c r="P628" i="19"/>
  <c r="Q628" i="19"/>
  <c r="R628" i="19"/>
  <c r="S628" i="19"/>
  <c r="T628" i="19"/>
  <c r="U628" i="19"/>
  <c r="J629" i="19"/>
  <c r="K629" i="19"/>
  <c r="L629" i="19"/>
  <c r="M629" i="19"/>
  <c r="N629" i="19"/>
  <c r="O629" i="19"/>
  <c r="P629" i="19"/>
  <c r="Q629" i="19"/>
  <c r="R629" i="19"/>
  <c r="S629" i="19"/>
  <c r="T629" i="19"/>
  <c r="U629" i="19"/>
  <c r="J630" i="19"/>
  <c r="K630" i="19"/>
  <c r="L630" i="19"/>
  <c r="M630" i="19"/>
  <c r="N630" i="19"/>
  <c r="O630" i="19"/>
  <c r="P630" i="19"/>
  <c r="Q630" i="19"/>
  <c r="R630" i="19"/>
  <c r="S630" i="19"/>
  <c r="T630" i="19"/>
  <c r="U630" i="19"/>
  <c r="J631" i="19"/>
  <c r="K631" i="19"/>
  <c r="L631" i="19"/>
  <c r="M631" i="19"/>
  <c r="N631" i="19"/>
  <c r="O631" i="19"/>
  <c r="P631" i="19"/>
  <c r="Q631" i="19"/>
  <c r="R631" i="19"/>
  <c r="S631" i="19"/>
  <c r="T631" i="19"/>
  <c r="U631" i="19"/>
  <c r="J632" i="19"/>
  <c r="K632" i="19"/>
  <c r="L632" i="19"/>
  <c r="M632" i="19"/>
  <c r="N632" i="19"/>
  <c r="O632" i="19"/>
  <c r="P632" i="19"/>
  <c r="Q632" i="19"/>
  <c r="R632" i="19"/>
  <c r="S632" i="19"/>
  <c r="T632" i="19"/>
  <c r="U632" i="19"/>
  <c r="J633" i="19"/>
  <c r="K633" i="19"/>
  <c r="L633" i="19"/>
  <c r="M633" i="19"/>
  <c r="N633" i="19"/>
  <c r="O633" i="19"/>
  <c r="P633" i="19"/>
  <c r="Q633" i="19"/>
  <c r="R633" i="19"/>
  <c r="S633" i="19"/>
  <c r="T633" i="19"/>
  <c r="U633" i="19"/>
  <c r="J634" i="19"/>
  <c r="K634" i="19"/>
  <c r="L634" i="19"/>
  <c r="M634" i="19"/>
  <c r="N634" i="19"/>
  <c r="O634" i="19"/>
  <c r="P634" i="19"/>
  <c r="Q634" i="19"/>
  <c r="R634" i="19"/>
  <c r="S634" i="19"/>
  <c r="T634" i="19"/>
  <c r="U634" i="19"/>
  <c r="J635" i="19"/>
  <c r="F135" i="20" s="1"/>
  <c r="K635" i="19"/>
  <c r="G135" i="20" s="1"/>
  <c r="L635" i="19"/>
  <c r="H135" i="20" s="1"/>
  <c r="M635" i="19"/>
  <c r="I135" i="20" s="1"/>
  <c r="N635" i="19"/>
  <c r="J135" i="20" s="1"/>
  <c r="O635" i="19"/>
  <c r="K135" i="20" s="1"/>
  <c r="P635" i="19"/>
  <c r="L135" i="20" s="1"/>
  <c r="Q635" i="19"/>
  <c r="M135" i="20" s="1"/>
  <c r="R635" i="19"/>
  <c r="N135" i="20" s="1"/>
  <c r="S635" i="19"/>
  <c r="O135" i="20" s="1"/>
  <c r="T635" i="19"/>
  <c r="P135" i="20" s="1"/>
  <c r="U635" i="19"/>
  <c r="Q135" i="20" s="1"/>
  <c r="J636" i="19"/>
  <c r="K636" i="19"/>
  <c r="L636" i="19"/>
  <c r="M636" i="19"/>
  <c r="N636" i="19"/>
  <c r="O636" i="19"/>
  <c r="P636" i="19"/>
  <c r="Q636" i="19"/>
  <c r="R636" i="19"/>
  <c r="S636" i="19"/>
  <c r="T636" i="19"/>
  <c r="U636" i="19"/>
  <c r="J637" i="19"/>
  <c r="K637" i="19"/>
  <c r="L637" i="19"/>
  <c r="M637" i="19"/>
  <c r="N637" i="19"/>
  <c r="O637" i="19"/>
  <c r="P637" i="19"/>
  <c r="Q637" i="19"/>
  <c r="R637" i="19"/>
  <c r="S637" i="19"/>
  <c r="T637" i="19"/>
  <c r="U637" i="19"/>
  <c r="J638" i="19"/>
  <c r="K638" i="19"/>
  <c r="L638" i="19"/>
  <c r="M638" i="19"/>
  <c r="N638" i="19"/>
  <c r="O638" i="19"/>
  <c r="P638" i="19"/>
  <c r="Q638" i="19"/>
  <c r="R638" i="19"/>
  <c r="S638" i="19"/>
  <c r="T638" i="19"/>
  <c r="U638" i="19"/>
  <c r="J639" i="19"/>
  <c r="K639" i="19"/>
  <c r="L639" i="19"/>
  <c r="M639" i="19"/>
  <c r="N639" i="19"/>
  <c r="O639" i="19"/>
  <c r="P639" i="19"/>
  <c r="Q639" i="19"/>
  <c r="R639" i="19"/>
  <c r="S639" i="19"/>
  <c r="T639" i="19"/>
  <c r="U639" i="19"/>
  <c r="J640" i="19"/>
  <c r="K640" i="19"/>
  <c r="L640" i="19"/>
  <c r="M640" i="19"/>
  <c r="N640" i="19"/>
  <c r="O640" i="19"/>
  <c r="P640" i="19"/>
  <c r="Q640" i="19"/>
  <c r="R640" i="19"/>
  <c r="S640" i="19"/>
  <c r="T640" i="19"/>
  <c r="U640" i="19"/>
  <c r="J641" i="19"/>
  <c r="K641" i="19"/>
  <c r="L641" i="19"/>
  <c r="M641" i="19"/>
  <c r="N641" i="19"/>
  <c r="O641" i="19"/>
  <c r="P641" i="19"/>
  <c r="Q641" i="19"/>
  <c r="R641" i="19"/>
  <c r="S641" i="19"/>
  <c r="T641" i="19"/>
  <c r="U641" i="19"/>
  <c r="J642" i="19"/>
  <c r="K642" i="19"/>
  <c r="L642" i="19"/>
  <c r="M642" i="19"/>
  <c r="N642" i="19"/>
  <c r="O642" i="19"/>
  <c r="P642" i="19"/>
  <c r="Q642" i="19"/>
  <c r="R642" i="19"/>
  <c r="S642" i="19"/>
  <c r="T642" i="19"/>
  <c r="U642" i="19"/>
  <c r="J643" i="19"/>
  <c r="K643" i="19"/>
  <c r="L643" i="19"/>
  <c r="M643" i="19"/>
  <c r="N643" i="19"/>
  <c r="O643" i="19"/>
  <c r="P643" i="19"/>
  <c r="Q643" i="19"/>
  <c r="R643" i="19"/>
  <c r="S643" i="19"/>
  <c r="T643" i="19"/>
  <c r="U643" i="19"/>
  <c r="J644" i="19"/>
  <c r="K644" i="19"/>
  <c r="L644" i="19"/>
  <c r="M644" i="19"/>
  <c r="N644" i="19"/>
  <c r="O644" i="19"/>
  <c r="P644" i="19"/>
  <c r="Q644" i="19"/>
  <c r="R644" i="19"/>
  <c r="S644" i="19"/>
  <c r="T644" i="19"/>
  <c r="U644" i="19"/>
  <c r="J645" i="19"/>
  <c r="K645" i="19"/>
  <c r="L645" i="19"/>
  <c r="M645" i="19"/>
  <c r="N645" i="19"/>
  <c r="O645" i="19"/>
  <c r="P645" i="19"/>
  <c r="Q645" i="19"/>
  <c r="R645" i="19"/>
  <c r="S645" i="19"/>
  <c r="T645" i="19"/>
  <c r="U645" i="19"/>
  <c r="J646" i="19"/>
  <c r="K646" i="19"/>
  <c r="L646" i="19"/>
  <c r="M646" i="19"/>
  <c r="N646" i="19"/>
  <c r="O646" i="19"/>
  <c r="P646" i="19"/>
  <c r="Q646" i="19"/>
  <c r="R646" i="19"/>
  <c r="S646" i="19"/>
  <c r="T646" i="19"/>
  <c r="U646" i="19"/>
  <c r="J647" i="19"/>
  <c r="K647" i="19"/>
  <c r="L647" i="19"/>
  <c r="M647" i="19"/>
  <c r="N647" i="19"/>
  <c r="O647" i="19"/>
  <c r="P647" i="19"/>
  <c r="Q647" i="19"/>
  <c r="R647" i="19"/>
  <c r="S647" i="19"/>
  <c r="T647" i="19"/>
  <c r="U647" i="19"/>
  <c r="J648" i="19"/>
  <c r="K648" i="19"/>
  <c r="L648" i="19"/>
  <c r="M648" i="19"/>
  <c r="N648" i="19"/>
  <c r="O648" i="19"/>
  <c r="P648" i="19"/>
  <c r="Q648" i="19"/>
  <c r="R648" i="19"/>
  <c r="S648" i="19"/>
  <c r="T648" i="19"/>
  <c r="U648" i="19"/>
  <c r="J649" i="19"/>
  <c r="K649" i="19"/>
  <c r="L649" i="19"/>
  <c r="M649" i="19"/>
  <c r="N649" i="19"/>
  <c r="O649" i="19"/>
  <c r="P649" i="19"/>
  <c r="Q649" i="19"/>
  <c r="R649" i="19"/>
  <c r="S649" i="19"/>
  <c r="T649" i="19"/>
  <c r="U649" i="19"/>
  <c r="J650" i="19"/>
  <c r="K650" i="19"/>
  <c r="L650" i="19"/>
  <c r="M650" i="19"/>
  <c r="N650" i="19"/>
  <c r="O650" i="19"/>
  <c r="P650" i="19"/>
  <c r="Q650" i="19"/>
  <c r="R650" i="19"/>
  <c r="S650" i="19"/>
  <c r="T650" i="19"/>
  <c r="U650" i="19"/>
  <c r="J651" i="19"/>
  <c r="K651" i="19"/>
  <c r="L651" i="19"/>
  <c r="M651" i="19"/>
  <c r="N651" i="19"/>
  <c r="O651" i="19"/>
  <c r="P651" i="19"/>
  <c r="Q651" i="19"/>
  <c r="R651" i="19"/>
  <c r="S651" i="19"/>
  <c r="T651" i="19"/>
  <c r="U651" i="19"/>
  <c r="J652" i="19"/>
  <c r="K652" i="19"/>
  <c r="L652" i="19"/>
  <c r="M652" i="19"/>
  <c r="N652" i="19"/>
  <c r="O652" i="19"/>
  <c r="P652" i="19"/>
  <c r="Q652" i="19"/>
  <c r="R652" i="19"/>
  <c r="S652" i="19"/>
  <c r="T652" i="19"/>
  <c r="U652" i="19"/>
  <c r="J653" i="19"/>
  <c r="K653" i="19"/>
  <c r="L653" i="19"/>
  <c r="M653" i="19"/>
  <c r="N653" i="19"/>
  <c r="O653" i="19"/>
  <c r="P653" i="19"/>
  <c r="Q653" i="19"/>
  <c r="R653" i="19"/>
  <c r="S653" i="19"/>
  <c r="T653" i="19"/>
  <c r="U653" i="19"/>
  <c r="J654" i="19"/>
  <c r="K654" i="19"/>
  <c r="L654" i="19"/>
  <c r="M654" i="19"/>
  <c r="N654" i="19"/>
  <c r="O654" i="19"/>
  <c r="P654" i="19"/>
  <c r="Q654" i="19"/>
  <c r="R654" i="19"/>
  <c r="S654" i="19"/>
  <c r="T654" i="19"/>
  <c r="U654" i="19"/>
  <c r="J655" i="19"/>
  <c r="K655" i="19"/>
  <c r="L655" i="19"/>
  <c r="M655" i="19"/>
  <c r="N655" i="19"/>
  <c r="O655" i="19"/>
  <c r="P655" i="19"/>
  <c r="Q655" i="19"/>
  <c r="R655" i="19"/>
  <c r="S655" i="19"/>
  <c r="T655" i="19"/>
  <c r="U655" i="19"/>
  <c r="J656" i="19"/>
  <c r="K656" i="19"/>
  <c r="L656" i="19"/>
  <c r="M656" i="19"/>
  <c r="N656" i="19"/>
  <c r="O656" i="19"/>
  <c r="P656" i="19"/>
  <c r="Q656" i="19"/>
  <c r="R656" i="19"/>
  <c r="S656" i="19"/>
  <c r="T656" i="19"/>
  <c r="U656" i="19"/>
  <c r="J657" i="19"/>
  <c r="K657" i="19"/>
  <c r="L657" i="19"/>
  <c r="M657" i="19"/>
  <c r="N657" i="19"/>
  <c r="O657" i="19"/>
  <c r="P657" i="19"/>
  <c r="Q657" i="19"/>
  <c r="R657" i="19"/>
  <c r="S657" i="19"/>
  <c r="T657" i="19"/>
  <c r="U657" i="19"/>
  <c r="J658" i="19"/>
  <c r="K658" i="19"/>
  <c r="L658" i="19"/>
  <c r="M658" i="19"/>
  <c r="N658" i="19"/>
  <c r="O658" i="19"/>
  <c r="P658" i="19"/>
  <c r="Q658" i="19"/>
  <c r="R658" i="19"/>
  <c r="S658" i="19"/>
  <c r="T658" i="19"/>
  <c r="U658" i="19"/>
  <c r="J659" i="19"/>
  <c r="K659" i="19"/>
  <c r="L659" i="19"/>
  <c r="M659" i="19"/>
  <c r="N659" i="19"/>
  <c r="O659" i="19"/>
  <c r="P659" i="19"/>
  <c r="Q659" i="19"/>
  <c r="R659" i="19"/>
  <c r="S659" i="19"/>
  <c r="T659" i="19"/>
  <c r="U659" i="19"/>
  <c r="J660" i="19"/>
  <c r="K660" i="19"/>
  <c r="L660" i="19"/>
  <c r="M660" i="19"/>
  <c r="N660" i="19"/>
  <c r="O660" i="19"/>
  <c r="P660" i="19"/>
  <c r="Q660" i="19"/>
  <c r="R660" i="19"/>
  <c r="S660" i="19"/>
  <c r="T660" i="19"/>
  <c r="U660" i="19"/>
  <c r="J661" i="19"/>
  <c r="K661" i="19"/>
  <c r="L661" i="19"/>
  <c r="M661" i="19"/>
  <c r="N661" i="19"/>
  <c r="O661" i="19"/>
  <c r="P661" i="19"/>
  <c r="Q661" i="19"/>
  <c r="R661" i="19"/>
  <c r="S661" i="19"/>
  <c r="T661" i="19"/>
  <c r="U661" i="19"/>
  <c r="J662" i="19"/>
  <c r="K662" i="19"/>
  <c r="L662" i="19"/>
  <c r="M662" i="19"/>
  <c r="N662" i="19"/>
  <c r="O662" i="19"/>
  <c r="P662" i="19"/>
  <c r="Q662" i="19"/>
  <c r="R662" i="19"/>
  <c r="S662" i="19"/>
  <c r="T662" i="19"/>
  <c r="U662" i="19"/>
  <c r="J663" i="19"/>
  <c r="K663" i="19"/>
  <c r="L663" i="19"/>
  <c r="M663" i="19"/>
  <c r="N663" i="19"/>
  <c r="O663" i="19"/>
  <c r="P663" i="19"/>
  <c r="Q663" i="19"/>
  <c r="R663" i="19"/>
  <c r="S663" i="19"/>
  <c r="T663" i="19"/>
  <c r="U663" i="19"/>
  <c r="J664" i="19"/>
  <c r="K664" i="19"/>
  <c r="L664" i="19"/>
  <c r="M664" i="19"/>
  <c r="N664" i="19"/>
  <c r="O664" i="19"/>
  <c r="P664" i="19"/>
  <c r="Q664" i="19"/>
  <c r="R664" i="19"/>
  <c r="S664" i="19"/>
  <c r="T664" i="19"/>
  <c r="U664" i="19"/>
  <c r="J665" i="19"/>
  <c r="K665" i="19"/>
  <c r="L665" i="19"/>
  <c r="M665" i="19"/>
  <c r="N665" i="19"/>
  <c r="O665" i="19"/>
  <c r="P665" i="19"/>
  <c r="Q665" i="19"/>
  <c r="R665" i="19"/>
  <c r="S665" i="19"/>
  <c r="T665" i="19"/>
  <c r="U665" i="19"/>
  <c r="J666" i="19"/>
  <c r="K666" i="19"/>
  <c r="L666" i="19"/>
  <c r="M666" i="19"/>
  <c r="N666" i="19"/>
  <c r="O666" i="19"/>
  <c r="P666" i="19"/>
  <c r="Q666" i="19"/>
  <c r="R666" i="19"/>
  <c r="S666" i="19"/>
  <c r="T666" i="19"/>
  <c r="U666" i="19"/>
  <c r="J667" i="19"/>
  <c r="K667" i="19"/>
  <c r="L667" i="19"/>
  <c r="M667" i="19"/>
  <c r="N667" i="19"/>
  <c r="O667" i="19"/>
  <c r="P667" i="19"/>
  <c r="Q667" i="19"/>
  <c r="R667" i="19"/>
  <c r="S667" i="19"/>
  <c r="T667" i="19"/>
  <c r="U667" i="19"/>
  <c r="J668" i="19"/>
  <c r="K668" i="19"/>
  <c r="L668" i="19"/>
  <c r="M668" i="19"/>
  <c r="N668" i="19"/>
  <c r="O668" i="19"/>
  <c r="P668" i="19"/>
  <c r="Q668" i="19"/>
  <c r="R668" i="19"/>
  <c r="S668" i="19"/>
  <c r="T668" i="19"/>
  <c r="U668" i="19"/>
  <c r="J669" i="19"/>
  <c r="K669" i="19"/>
  <c r="L669" i="19"/>
  <c r="M669" i="19"/>
  <c r="N669" i="19"/>
  <c r="O669" i="19"/>
  <c r="P669" i="19"/>
  <c r="Q669" i="19"/>
  <c r="R669" i="19"/>
  <c r="S669" i="19"/>
  <c r="T669" i="19"/>
  <c r="U669" i="19"/>
  <c r="J670" i="19"/>
  <c r="K670" i="19"/>
  <c r="L670" i="19"/>
  <c r="M670" i="19"/>
  <c r="N670" i="19"/>
  <c r="O670" i="19"/>
  <c r="P670" i="19"/>
  <c r="Q670" i="19"/>
  <c r="R670" i="19"/>
  <c r="S670" i="19"/>
  <c r="T670" i="19"/>
  <c r="U670" i="19"/>
  <c r="J671" i="19"/>
  <c r="K671" i="19"/>
  <c r="L671" i="19"/>
  <c r="M671" i="19"/>
  <c r="N671" i="19"/>
  <c r="O671" i="19"/>
  <c r="P671" i="19"/>
  <c r="Q671" i="19"/>
  <c r="R671" i="19"/>
  <c r="S671" i="19"/>
  <c r="T671" i="19"/>
  <c r="U671" i="19"/>
  <c r="J672" i="19"/>
  <c r="K672" i="19"/>
  <c r="L672" i="19"/>
  <c r="M672" i="19"/>
  <c r="N672" i="19"/>
  <c r="O672" i="19"/>
  <c r="P672" i="19"/>
  <c r="Q672" i="19"/>
  <c r="R672" i="19"/>
  <c r="S672" i="19"/>
  <c r="T672" i="19"/>
  <c r="U672" i="19"/>
  <c r="J673" i="19"/>
  <c r="K673" i="19"/>
  <c r="L673" i="19"/>
  <c r="M673" i="19"/>
  <c r="N673" i="19"/>
  <c r="O673" i="19"/>
  <c r="P673" i="19"/>
  <c r="Q673" i="19"/>
  <c r="R673" i="19"/>
  <c r="S673" i="19"/>
  <c r="T673" i="19"/>
  <c r="U673" i="19"/>
  <c r="J674" i="19"/>
  <c r="K674" i="19"/>
  <c r="L674" i="19"/>
  <c r="M674" i="19"/>
  <c r="N674" i="19"/>
  <c r="O674" i="19"/>
  <c r="P674" i="19"/>
  <c r="Q674" i="19"/>
  <c r="R674" i="19"/>
  <c r="S674" i="19"/>
  <c r="T674" i="19"/>
  <c r="U674" i="19"/>
  <c r="J675" i="19"/>
  <c r="K675" i="19"/>
  <c r="L675" i="19"/>
  <c r="M675" i="19"/>
  <c r="N675" i="19"/>
  <c r="O675" i="19"/>
  <c r="P675" i="19"/>
  <c r="Q675" i="19"/>
  <c r="R675" i="19"/>
  <c r="S675" i="19"/>
  <c r="T675" i="19"/>
  <c r="U675" i="19"/>
  <c r="J676" i="19"/>
  <c r="K676" i="19"/>
  <c r="L676" i="19"/>
  <c r="M676" i="19"/>
  <c r="N676" i="19"/>
  <c r="O676" i="19"/>
  <c r="P676" i="19"/>
  <c r="Q676" i="19"/>
  <c r="R676" i="19"/>
  <c r="S676" i="19"/>
  <c r="T676" i="19"/>
  <c r="U676" i="19"/>
  <c r="J677" i="19"/>
  <c r="K677" i="19"/>
  <c r="L677" i="19"/>
  <c r="M677" i="19"/>
  <c r="N677" i="19"/>
  <c r="O677" i="19"/>
  <c r="P677" i="19"/>
  <c r="Q677" i="19"/>
  <c r="R677" i="19"/>
  <c r="S677" i="19"/>
  <c r="T677" i="19"/>
  <c r="U677" i="19"/>
  <c r="J678" i="19"/>
  <c r="K678" i="19"/>
  <c r="L678" i="19"/>
  <c r="M678" i="19"/>
  <c r="N678" i="19"/>
  <c r="O678" i="19"/>
  <c r="P678" i="19"/>
  <c r="Q678" i="19"/>
  <c r="R678" i="19"/>
  <c r="S678" i="19"/>
  <c r="T678" i="19"/>
  <c r="U678" i="19"/>
  <c r="J679" i="19"/>
  <c r="K679" i="19"/>
  <c r="L679" i="19"/>
  <c r="M679" i="19"/>
  <c r="N679" i="19"/>
  <c r="O679" i="19"/>
  <c r="P679" i="19"/>
  <c r="Q679" i="19"/>
  <c r="R679" i="19"/>
  <c r="S679" i="19"/>
  <c r="T679" i="19"/>
  <c r="U679" i="19"/>
  <c r="J680" i="19"/>
  <c r="K680" i="19"/>
  <c r="L680" i="19"/>
  <c r="M680" i="19"/>
  <c r="N680" i="19"/>
  <c r="O680" i="19"/>
  <c r="P680" i="19"/>
  <c r="Q680" i="19"/>
  <c r="R680" i="19"/>
  <c r="S680" i="19"/>
  <c r="T680" i="19"/>
  <c r="U680" i="19"/>
  <c r="J681" i="19"/>
  <c r="K681" i="19"/>
  <c r="L681" i="19"/>
  <c r="M681" i="19"/>
  <c r="N681" i="19"/>
  <c r="O681" i="19"/>
  <c r="P681" i="19"/>
  <c r="Q681" i="19"/>
  <c r="R681" i="19"/>
  <c r="S681" i="19"/>
  <c r="T681" i="19"/>
  <c r="U681" i="19"/>
  <c r="J682" i="19"/>
  <c r="K682" i="19"/>
  <c r="L682" i="19"/>
  <c r="M682" i="19"/>
  <c r="N682" i="19"/>
  <c r="O682" i="19"/>
  <c r="P682" i="19"/>
  <c r="Q682" i="19"/>
  <c r="R682" i="19"/>
  <c r="S682" i="19"/>
  <c r="T682" i="19"/>
  <c r="U682" i="19"/>
  <c r="J683" i="19"/>
  <c r="K683" i="19"/>
  <c r="L683" i="19"/>
  <c r="M683" i="19"/>
  <c r="N683" i="19"/>
  <c r="O683" i="19"/>
  <c r="P683" i="19"/>
  <c r="Q683" i="19"/>
  <c r="R683" i="19"/>
  <c r="S683" i="19"/>
  <c r="T683" i="19"/>
  <c r="U683" i="19"/>
  <c r="J684" i="19"/>
  <c r="K684" i="19"/>
  <c r="L684" i="19"/>
  <c r="M684" i="19"/>
  <c r="N684" i="19"/>
  <c r="O684" i="19"/>
  <c r="P684" i="19"/>
  <c r="Q684" i="19"/>
  <c r="R684" i="19"/>
  <c r="S684" i="19"/>
  <c r="T684" i="19"/>
  <c r="U684" i="19"/>
  <c r="J685" i="19"/>
  <c r="K685" i="19"/>
  <c r="L685" i="19"/>
  <c r="M685" i="19"/>
  <c r="N685" i="19"/>
  <c r="O685" i="19"/>
  <c r="P685" i="19"/>
  <c r="Q685" i="19"/>
  <c r="R685" i="19"/>
  <c r="S685" i="19"/>
  <c r="T685" i="19"/>
  <c r="U685" i="19"/>
  <c r="J686" i="19"/>
  <c r="K686" i="19"/>
  <c r="L686" i="19"/>
  <c r="M686" i="19"/>
  <c r="N686" i="19"/>
  <c r="O686" i="19"/>
  <c r="P686" i="19"/>
  <c r="Q686" i="19"/>
  <c r="R686" i="19"/>
  <c r="S686" i="19"/>
  <c r="T686" i="19"/>
  <c r="U686" i="19"/>
  <c r="J687" i="19"/>
  <c r="K687" i="19"/>
  <c r="L687" i="19"/>
  <c r="M687" i="19"/>
  <c r="N687" i="19"/>
  <c r="O687" i="19"/>
  <c r="P687" i="19"/>
  <c r="Q687" i="19"/>
  <c r="R687" i="19"/>
  <c r="S687" i="19"/>
  <c r="T687" i="19"/>
  <c r="U687" i="19"/>
  <c r="J688" i="19"/>
  <c r="K688" i="19"/>
  <c r="L688" i="19"/>
  <c r="M688" i="19"/>
  <c r="N688" i="19"/>
  <c r="O688" i="19"/>
  <c r="P688" i="19"/>
  <c r="Q688" i="19"/>
  <c r="R688" i="19"/>
  <c r="S688" i="19"/>
  <c r="T688" i="19"/>
  <c r="U688" i="19"/>
  <c r="J689" i="19"/>
  <c r="K689" i="19"/>
  <c r="L689" i="19"/>
  <c r="M689" i="19"/>
  <c r="N689" i="19"/>
  <c r="O689" i="19"/>
  <c r="P689" i="19"/>
  <c r="Q689" i="19"/>
  <c r="R689" i="19"/>
  <c r="S689" i="19"/>
  <c r="T689" i="19"/>
  <c r="U689" i="19"/>
  <c r="J690" i="19"/>
  <c r="F65" i="20" s="1"/>
  <c r="K690" i="19"/>
  <c r="G65" i="20" s="1"/>
  <c r="L690" i="19"/>
  <c r="H65" i="20" s="1"/>
  <c r="M690" i="19"/>
  <c r="I65" i="20" s="1"/>
  <c r="N690" i="19"/>
  <c r="J65" i="20" s="1"/>
  <c r="O690" i="19"/>
  <c r="K65" i="20" s="1"/>
  <c r="P690" i="19"/>
  <c r="L65" i="20" s="1"/>
  <c r="Q690" i="19"/>
  <c r="M65" i="20" s="1"/>
  <c r="R690" i="19"/>
  <c r="N65" i="20" s="1"/>
  <c r="S690" i="19"/>
  <c r="O65" i="20" s="1"/>
  <c r="T690" i="19"/>
  <c r="P65" i="20" s="1"/>
  <c r="U690" i="19"/>
  <c r="Q65" i="20" s="1"/>
  <c r="J691" i="19"/>
  <c r="K691" i="19"/>
  <c r="L691" i="19"/>
  <c r="M691" i="19"/>
  <c r="N691" i="19"/>
  <c r="O691" i="19"/>
  <c r="P691" i="19"/>
  <c r="Q691" i="19"/>
  <c r="R691" i="19"/>
  <c r="S691" i="19"/>
  <c r="T691" i="19"/>
  <c r="U691" i="19"/>
  <c r="J692" i="19"/>
  <c r="K692" i="19"/>
  <c r="L692" i="19"/>
  <c r="M692" i="19"/>
  <c r="N692" i="19"/>
  <c r="O692" i="19"/>
  <c r="P692" i="19"/>
  <c r="Q692" i="19"/>
  <c r="R692" i="19"/>
  <c r="S692" i="19"/>
  <c r="T692" i="19"/>
  <c r="U692" i="19"/>
  <c r="J693" i="19"/>
  <c r="K693" i="19"/>
  <c r="L693" i="19"/>
  <c r="M693" i="19"/>
  <c r="N693" i="19"/>
  <c r="O693" i="19"/>
  <c r="P693" i="19"/>
  <c r="Q693" i="19"/>
  <c r="R693" i="19"/>
  <c r="S693" i="19"/>
  <c r="T693" i="19"/>
  <c r="U693" i="19"/>
  <c r="J694" i="19"/>
  <c r="K694" i="19"/>
  <c r="L694" i="19"/>
  <c r="M694" i="19"/>
  <c r="N694" i="19"/>
  <c r="O694" i="19"/>
  <c r="P694" i="19"/>
  <c r="Q694" i="19"/>
  <c r="R694" i="19"/>
  <c r="S694" i="19"/>
  <c r="T694" i="19"/>
  <c r="U694" i="19"/>
  <c r="J695" i="19"/>
  <c r="K695" i="19"/>
  <c r="L695" i="19"/>
  <c r="M695" i="19"/>
  <c r="N695" i="19"/>
  <c r="O695" i="19"/>
  <c r="P695" i="19"/>
  <c r="Q695" i="19"/>
  <c r="R695" i="19"/>
  <c r="S695" i="19"/>
  <c r="T695" i="19"/>
  <c r="U695" i="19"/>
  <c r="J696" i="19"/>
  <c r="K696" i="19"/>
  <c r="L696" i="19"/>
  <c r="M696" i="19"/>
  <c r="N696" i="19"/>
  <c r="O696" i="19"/>
  <c r="P696" i="19"/>
  <c r="Q696" i="19"/>
  <c r="R696" i="19"/>
  <c r="S696" i="19"/>
  <c r="T696" i="19"/>
  <c r="U696" i="19"/>
  <c r="J697" i="19"/>
  <c r="K697" i="19"/>
  <c r="L697" i="19"/>
  <c r="M697" i="19"/>
  <c r="N697" i="19"/>
  <c r="O697" i="19"/>
  <c r="P697" i="19"/>
  <c r="Q697" i="19"/>
  <c r="R697" i="19"/>
  <c r="S697" i="19"/>
  <c r="T697" i="19"/>
  <c r="U697" i="19"/>
  <c r="J698" i="19"/>
  <c r="K698" i="19"/>
  <c r="L698" i="19"/>
  <c r="M698" i="19"/>
  <c r="N698" i="19"/>
  <c r="O698" i="19"/>
  <c r="P698" i="19"/>
  <c r="Q698" i="19"/>
  <c r="R698" i="19"/>
  <c r="S698" i="19"/>
  <c r="T698" i="19"/>
  <c r="U698" i="19"/>
  <c r="J699" i="19"/>
  <c r="K699" i="19"/>
  <c r="L699" i="19"/>
  <c r="M699" i="19"/>
  <c r="N699" i="19"/>
  <c r="O699" i="19"/>
  <c r="P699" i="19"/>
  <c r="Q699" i="19"/>
  <c r="R699" i="19"/>
  <c r="S699" i="19"/>
  <c r="T699" i="19"/>
  <c r="U699" i="19"/>
  <c r="J700" i="19"/>
  <c r="K700" i="19"/>
  <c r="L700" i="19"/>
  <c r="M700" i="19"/>
  <c r="N700" i="19"/>
  <c r="O700" i="19"/>
  <c r="P700" i="19"/>
  <c r="Q700" i="19"/>
  <c r="R700" i="19"/>
  <c r="S700" i="19"/>
  <c r="T700" i="19"/>
  <c r="U700" i="19"/>
  <c r="J701" i="19"/>
  <c r="K701" i="19"/>
  <c r="L701" i="19"/>
  <c r="M701" i="19"/>
  <c r="N701" i="19"/>
  <c r="O701" i="19"/>
  <c r="P701" i="19"/>
  <c r="Q701" i="19"/>
  <c r="R701" i="19"/>
  <c r="S701" i="19"/>
  <c r="T701" i="19"/>
  <c r="U701" i="19"/>
  <c r="J702" i="19"/>
  <c r="K702" i="19"/>
  <c r="L702" i="19"/>
  <c r="M702" i="19"/>
  <c r="N702" i="19"/>
  <c r="O702" i="19"/>
  <c r="P702" i="19"/>
  <c r="Q702" i="19"/>
  <c r="R702" i="19"/>
  <c r="S702" i="19"/>
  <c r="T702" i="19"/>
  <c r="U702" i="19"/>
  <c r="J703" i="19"/>
  <c r="K703" i="19"/>
  <c r="L703" i="19"/>
  <c r="M703" i="19"/>
  <c r="N703" i="19"/>
  <c r="O703" i="19"/>
  <c r="P703" i="19"/>
  <c r="Q703" i="19"/>
  <c r="R703" i="19"/>
  <c r="S703" i="19"/>
  <c r="T703" i="19"/>
  <c r="U703" i="19"/>
  <c r="J704" i="19"/>
  <c r="K704" i="19"/>
  <c r="L704" i="19"/>
  <c r="M704" i="19"/>
  <c r="N704" i="19"/>
  <c r="O704" i="19"/>
  <c r="P704" i="19"/>
  <c r="Q704" i="19"/>
  <c r="R704" i="19"/>
  <c r="S704" i="19"/>
  <c r="T704" i="19"/>
  <c r="U704" i="19"/>
  <c r="J705" i="19"/>
  <c r="K705" i="19"/>
  <c r="L705" i="19"/>
  <c r="M705" i="19"/>
  <c r="N705" i="19"/>
  <c r="O705" i="19"/>
  <c r="P705" i="19"/>
  <c r="Q705" i="19"/>
  <c r="R705" i="19"/>
  <c r="S705" i="19"/>
  <c r="T705" i="19"/>
  <c r="U705" i="19"/>
  <c r="J706" i="19"/>
  <c r="K706" i="19"/>
  <c r="L706" i="19"/>
  <c r="M706" i="19"/>
  <c r="N706" i="19"/>
  <c r="O706" i="19"/>
  <c r="P706" i="19"/>
  <c r="Q706" i="19"/>
  <c r="R706" i="19"/>
  <c r="S706" i="19"/>
  <c r="T706" i="19"/>
  <c r="U706" i="19"/>
  <c r="J707" i="19"/>
  <c r="K707" i="19"/>
  <c r="L707" i="19"/>
  <c r="M707" i="19"/>
  <c r="N707" i="19"/>
  <c r="O707" i="19"/>
  <c r="P707" i="19"/>
  <c r="Q707" i="19"/>
  <c r="R707" i="19"/>
  <c r="S707" i="19"/>
  <c r="T707" i="19"/>
  <c r="U707" i="19"/>
  <c r="J708" i="19"/>
  <c r="K708" i="19"/>
  <c r="L708" i="19"/>
  <c r="M708" i="19"/>
  <c r="N708" i="19"/>
  <c r="O708" i="19"/>
  <c r="P708" i="19"/>
  <c r="Q708" i="19"/>
  <c r="R708" i="19"/>
  <c r="S708" i="19"/>
  <c r="T708" i="19"/>
  <c r="U708" i="19"/>
  <c r="J709" i="19"/>
  <c r="K709" i="19"/>
  <c r="L709" i="19"/>
  <c r="M709" i="19"/>
  <c r="N709" i="19"/>
  <c r="O709" i="19"/>
  <c r="P709" i="19"/>
  <c r="Q709" i="19"/>
  <c r="R709" i="19"/>
  <c r="S709" i="19"/>
  <c r="T709" i="19"/>
  <c r="U709" i="19"/>
  <c r="J710" i="19"/>
  <c r="K710" i="19"/>
  <c r="L710" i="19"/>
  <c r="M710" i="19"/>
  <c r="N710" i="19"/>
  <c r="O710" i="19"/>
  <c r="P710" i="19"/>
  <c r="Q710" i="19"/>
  <c r="R710" i="19"/>
  <c r="S710" i="19"/>
  <c r="T710" i="19"/>
  <c r="U710" i="19"/>
  <c r="J711" i="19"/>
  <c r="K711" i="19"/>
  <c r="L711" i="19"/>
  <c r="M711" i="19"/>
  <c r="N711" i="19"/>
  <c r="O711" i="19"/>
  <c r="P711" i="19"/>
  <c r="Q711" i="19"/>
  <c r="R711" i="19"/>
  <c r="S711" i="19"/>
  <c r="T711" i="19"/>
  <c r="U711" i="19"/>
  <c r="J712" i="19"/>
  <c r="K712" i="19"/>
  <c r="L712" i="19"/>
  <c r="M712" i="19"/>
  <c r="N712" i="19"/>
  <c r="O712" i="19"/>
  <c r="P712" i="19"/>
  <c r="Q712" i="19"/>
  <c r="R712" i="19"/>
  <c r="S712" i="19"/>
  <c r="T712" i="19"/>
  <c r="U712" i="19"/>
  <c r="J713" i="19"/>
  <c r="K713" i="19"/>
  <c r="L713" i="19"/>
  <c r="M713" i="19"/>
  <c r="N713" i="19"/>
  <c r="O713" i="19"/>
  <c r="P713" i="19"/>
  <c r="Q713" i="19"/>
  <c r="R713" i="19"/>
  <c r="S713" i="19"/>
  <c r="T713" i="19"/>
  <c r="U713" i="19"/>
  <c r="J714" i="19"/>
  <c r="K714" i="19"/>
  <c r="L714" i="19"/>
  <c r="M714" i="19"/>
  <c r="N714" i="19"/>
  <c r="O714" i="19"/>
  <c r="P714" i="19"/>
  <c r="Q714" i="19"/>
  <c r="R714" i="19"/>
  <c r="S714" i="19"/>
  <c r="T714" i="19"/>
  <c r="U714" i="19"/>
  <c r="J715" i="19"/>
  <c r="K715" i="19"/>
  <c r="L715" i="19"/>
  <c r="M715" i="19"/>
  <c r="N715" i="19"/>
  <c r="O715" i="19"/>
  <c r="P715" i="19"/>
  <c r="Q715" i="19"/>
  <c r="R715" i="19"/>
  <c r="S715" i="19"/>
  <c r="T715" i="19"/>
  <c r="U715" i="19"/>
  <c r="J716" i="19"/>
  <c r="K716" i="19"/>
  <c r="L716" i="19"/>
  <c r="M716" i="19"/>
  <c r="N716" i="19"/>
  <c r="O716" i="19"/>
  <c r="P716" i="19"/>
  <c r="Q716" i="19"/>
  <c r="R716" i="19"/>
  <c r="S716" i="19"/>
  <c r="T716" i="19"/>
  <c r="U716" i="19"/>
  <c r="J717" i="19"/>
  <c r="K717" i="19"/>
  <c r="L717" i="19"/>
  <c r="M717" i="19"/>
  <c r="N717" i="19"/>
  <c r="O717" i="19"/>
  <c r="P717" i="19"/>
  <c r="Q717" i="19"/>
  <c r="R717" i="19"/>
  <c r="S717" i="19"/>
  <c r="T717" i="19"/>
  <c r="U717" i="19"/>
  <c r="J718" i="19"/>
  <c r="K718" i="19"/>
  <c r="L718" i="19"/>
  <c r="M718" i="19"/>
  <c r="N718" i="19"/>
  <c r="O718" i="19"/>
  <c r="P718" i="19"/>
  <c r="Q718" i="19"/>
  <c r="R718" i="19"/>
  <c r="S718" i="19"/>
  <c r="T718" i="19"/>
  <c r="U718" i="19"/>
  <c r="J719" i="19"/>
  <c r="K719" i="19"/>
  <c r="L719" i="19"/>
  <c r="M719" i="19"/>
  <c r="N719" i="19"/>
  <c r="O719" i="19"/>
  <c r="P719" i="19"/>
  <c r="Q719" i="19"/>
  <c r="R719" i="19"/>
  <c r="S719" i="19"/>
  <c r="T719" i="19"/>
  <c r="U719" i="19"/>
  <c r="J720" i="19"/>
  <c r="K720" i="19"/>
  <c r="L720" i="19"/>
  <c r="M720" i="19"/>
  <c r="N720" i="19"/>
  <c r="O720" i="19"/>
  <c r="P720" i="19"/>
  <c r="Q720" i="19"/>
  <c r="R720" i="19"/>
  <c r="S720" i="19"/>
  <c r="T720" i="19"/>
  <c r="U720" i="19"/>
  <c r="J721" i="19"/>
  <c r="K721" i="19"/>
  <c r="L721" i="19"/>
  <c r="M721" i="19"/>
  <c r="N721" i="19"/>
  <c r="O721" i="19"/>
  <c r="P721" i="19"/>
  <c r="Q721" i="19"/>
  <c r="R721" i="19"/>
  <c r="S721" i="19"/>
  <c r="T721" i="19"/>
  <c r="U721" i="19"/>
  <c r="J722" i="19"/>
  <c r="K722" i="19"/>
  <c r="L722" i="19"/>
  <c r="M722" i="19"/>
  <c r="N722" i="19"/>
  <c r="O722" i="19"/>
  <c r="P722" i="19"/>
  <c r="Q722" i="19"/>
  <c r="R722" i="19"/>
  <c r="S722" i="19"/>
  <c r="T722" i="19"/>
  <c r="U722" i="19"/>
  <c r="J723" i="19"/>
  <c r="K723" i="19"/>
  <c r="L723" i="19"/>
  <c r="M723" i="19"/>
  <c r="N723" i="19"/>
  <c r="O723" i="19"/>
  <c r="P723" i="19"/>
  <c r="Q723" i="19"/>
  <c r="R723" i="19"/>
  <c r="S723" i="19"/>
  <c r="T723" i="19"/>
  <c r="U723" i="19"/>
  <c r="J724" i="19"/>
  <c r="K724" i="19"/>
  <c r="L724" i="19"/>
  <c r="M724" i="19"/>
  <c r="N724" i="19"/>
  <c r="O724" i="19"/>
  <c r="P724" i="19"/>
  <c r="Q724" i="19"/>
  <c r="R724" i="19"/>
  <c r="S724" i="19"/>
  <c r="T724" i="19"/>
  <c r="U724" i="19"/>
  <c r="J725" i="19"/>
  <c r="K725" i="19"/>
  <c r="L725" i="19"/>
  <c r="M725" i="19"/>
  <c r="N725" i="19"/>
  <c r="O725" i="19"/>
  <c r="P725" i="19"/>
  <c r="Q725" i="19"/>
  <c r="R725" i="19"/>
  <c r="S725" i="19"/>
  <c r="T725" i="19"/>
  <c r="U725" i="19"/>
  <c r="J726" i="19"/>
  <c r="K726" i="19"/>
  <c r="L726" i="19"/>
  <c r="M726" i="19"/>
  <c r="N726" i="19"/>
  <c r="O726" i="19"/>
  <c r="P726" i="19"/>
  <c r="Q726" i="19"/>
  <c r="R726" i="19"/>
  <c r="S726" i="19"/>
  <c r="T726" i="19"/>
  <c r="U726" i="19"/>
  <c r="J727" i="19"/>
  <c r="K727" i="19"/>
  <c r="L727" i="19"/>
  <c r="M727" i="19"/>
  <c r="N727" i="19"/>
  <c r="O727" i="19"/>
  <c r="P727" i="19"/>
  <c r="Q727" i="19"/>
  <c r="R727" i="19"/>
  <c r="S727" i="19"/>
  <c r="T727" i="19"/>
  <c r="U727" i="19"/>
  <c r="J728" i="19"/>
  <c r="K728" i="19"/>
  <c r="L728" i="19"/>
  <c r="M728" i="19"/>
  <c r="N728" i="19"/>
  <c r="O728" i="19"/>
  <c r="P728" i="19"/>
  <c r="Q728" i="19"/>
  <c r="R728" i="19"/>
  <c r="S728" i="19"/>
  <c r="T728" i="19"/>
  <c r="U728" i="19"/>
  <c r="J729" i="19"/>
  <c r="K729" i="19"/>
  <c r="L729" i="19"/>
  <c r="M729" i="19"/>
  <c r="N729" i="19"/>
  <c r="O729" i="19"/>
  <c r="P729" i="19"/>
  <c r="Q729" i="19"/>
  <c r="R729" i="19"/>
  <c r="S729" i="19"/>
  <c r="T729" i="19"/>
  <c r="U729" i="19"/>
  <c r="J730" i="19"/>
  <c r="K730" i="19"/>
  <c r="L730" i="19"/>
  <c r="M730" i="19"/>
  <c r="N730" i="19"/>
  <c r="O730" i="19"/>
  <c r="P730" i="19"/>
  <c r="Q730" i="19"/>
  <c r="R730" i="19"/>
  <c r="S730" i="19"/>
  <c r="T730" i="19"/>
  <c r="U730" i="19"/>
  <c r="J731" i="19"/>
  <c r="K731" i="19"/>
  <c r="L731" i="19"/>
  <c r="M731" i="19"/>
  <c r="N731" i="19"/>
  <c r="O731" i="19"/>
  <c r="P731" i="19"/>
  <c r="Q731" i="19"/>
  <c r="R731" i="19"/>
  <c r="S731" i="19"/>
  <c r="T731" i="19"/>
  <c r="U731" i="19"/>
  <c r="J732" i="19"/>
  <c r="K732" i="19"/>
  <c r="L732" i="19"/>
  <c r="M732" i="19"/>
  <c r="N732" i="19"/>
  <c r="O732" i="19"/>
  <c r="P732" i="19"/>
  <c r="Q732" i="19"/>
  <c r="R732" i="19"/>
  <c r="S732" i="19"/>
  <c r="T732" i="19"/>
  <c r="U732" i="19"/>
  <c r="J733" i="19"/>
  <c r="K733" i="19"/>
  <c r="L733" i="19"/>
  <c r="M733" i="19"/>
  <c r="N733" i="19"/>
  <c r="O733" i="19"/>
  <c r="P733" i="19"/>
  <c r="Q733" i="19"/>
  <c r="R733" i="19"/>
  <c r="S733" i="19"/>
  <c r="T733" i="19"/>
  <c r="U733" i="19"/>
  <c r="J734" i="19"/>
  <c r="K734" i="19"/>
  <c r="L734" i="19"/>
  <c r="M734" i="19"/>
  <c r="N734" i="19"/>
  <c r="O734" i="19"/>
  <c r="P734" i="19"/>
  <c r="Q734" i="19"/>
  <c r="R734" i="19"/>
  <c r="S734" i="19"/>
  <c r="T734" i="19"/>
  <c r="U734" i="19"/>
  <c r="J735" i="19"/>
  <c r="K735" i="19"/>
  <c r="L735" i="19"/>
  <c r="M735" i="19"/>
  <c r="N735" i="19"/>
  <c r="O735" i="19"/>
  <c r="P735" i="19"/>
  <c r="Q735" i="19"/>
  <c r="R735" i="19"/>
  <c r="S735" i="19"/>
  <c r="T735" i="19"/>
  <c r="U735" i="19"/>
  <c r="J736" i="19"/>
  <c r="K736" i="19"/>
  <c r="L736" i="19"/>
  <c r="M736" i="19"/>
  <c r="N736" i="19"/>
  <c r="O736" i="19"/>
  <c r="P736" i="19"/>
  <c r="Q736" i="19"/>
  <c r="R736" i="19"/>
  <c r="S736" i="19"/>
  <c r="T736" i="19"/>
  <c r="U736" i="19"/>
  <c r="J737" i="19"/>
  <c r="K737" i="19"/>
  <c r="L737" i="19"/>
  <c r="M737" i="19"/>
  <c r="N737" i="19"/>
  <c r="O737" i="19"/>
  <c r="P737" i="19"/>
  <c r="Q737" i="19"/>
  <c r="R737" i="19"/>
  <c r="S737" i="19"/>
  <c r="T737" i="19"/>
  <c r="U737" i="19"/>
  <c r="J738" i="19"/>
  <c r="K738" i="19"/>
  <c r="L738" i="19"/>
  <c r="M738" i="19"/>
  <c r="N738" i="19"/>
  <c r="O738" i="19"/>
  <c r="P738" i="19"/>
  <c r="Q738" i="19"/>
  <c r="R738" i="19"/>
  <c r="S738" i="19"/>
  <c r="T738" i="19"/>
  <c r="U738" i="19"/>
  <c r="J739" i="19"/>
  <c r="K739" i="19"/>
  <c r="L739" i="19"/>
  <c r="M739" i="19"/>
  <c r="N739" i="19"/>
  <c r="O739" i="19"/>
  <c r="P739" i="19"/>
  <c r="Q739" i="19"/>
  <c r="R739" i="19"/>
  <c r="S739" i="19"/>
  <c r="T739" i="19"/>
  <c r="U739" i="19"/>
  <c r="J740" i="19"/>
  <c r="K740" i="19"/>
  <c r="L740" i="19"/>
  <c r="M740" i="19"/>
  <c r="N740" i="19"/>
  <c r="O740" i="19"/>
  <c r="P740" i="19"/>
  <c r="Q740" i="19"/>
  <c r="R740" i="19"/>
  <c r="S740" i="19"/>
  <c r="T740" i="19"/>
  <c r="U740" i="19"/>
  <c r="J741" i="19"/>
  <c r="K741" i="19"/>
  <c r="L741" i="19"/>
  <c r="M741" i="19"/>
  <c r="N741" i="19"/>
  <c r="O741" i="19"/>
  <c r="P741" i="19"/>
  <c r="Q741" i="19"/>
  <c r="R741" i="19"/>
  <c r="S741" i="19"/>
  <c r="T741" i="19"/>
  <c r="U741" i="19"/>
  <c r="J742" i="19"/>
  <c r="K742" i="19"/>
  <c r="L742" i="19"/>
  <c r="M742" i="19"/>
  <c r="N742" i="19"/>
  <c r="O742" i="19"/>
  <c r="P742" i="19"/>
  <c r="Q742" i="19"/>
  <c r="R742" i="19"/>
  <c r="S742" i="19"/>
  <c r="T742" i="19"/>
  <c r="U742" i="19"/>
  <c r="J743" i="19"/>
  <c r="K743" i="19"/>
  <c r="L743" i="19"/>
  <c r="M743" i="19"/>
  <c r="N743" i="19"/>
  <c r="O743" i="19"/>
  <c r="P743" i="19"/>
  <c r="Q743" i="19"/>
  <c r="R743" i="19"/>
  <c r="S743" i="19"/>
  <c r="T743" i="19"/>
  <c r="U743" i="19"/>
  <c r="J744" i="19"/>
  <c r="K744" i="19"/>
  <c r="L744" i="19"/>
  <c r="M744" i="19"/>
  <c r="N744" i="19"/>
  <c r="O744" i="19"/>
  <c r="P744" i="19"/>
  <c r="Q744" i="19"/>
  <c r="R744" i="19"/>
  <c r="S744" i="19"/>
  <c r="T744" i="19"/>
  <c r="U744" i="19"/>
  <c r="J745" i="19"/>
  <c r="K745" i="19"/>
  <c r="L745" i="19"/>
  <c r="M745" i="19"/>
  <c r="N745" i="19"/>
  <c r="O745" i="19"/>
  <c r="P745" i="19"/>
  <c r="Q745" i="19"/>
  <c r="R745" i="19"/>
  <c r="S745" i="19"/>
  <c r="T745" i="19"/>
  <c r="U745" i="19"/>
  <c r="J746" i="19"/>
  <c r="K746" i="19"/>
  <c r="L746" i="19"/>
  <c r="M746" i="19"/>
  <c r="N746" i="19"/>
  <c r="O746" i="19"/>
  <c r="P746" i="19"/>
  <c r="Q746" i="19"/>
  <c r="R746" i="19"/>
  <c r="S746" i="19"/>
  <c r="T746" i="19"/>
  <c r="U746" i="19"/>
  <c r="J747" i="19"/>
  <c r="K747" i="19"/>
  <c r="L747" i="19"/>
  <c r="M747" i="19"/>
  <c r="N747" i="19"/>
  <c r="O747" i="19"/>
  <c r="P747" i="19"/>
  <c r="Q747" i="19"/>
  <c r="R747" i="19"/>
  <c r="S747" i="19"/>
  <c r="T747" i="19"/>
  <c r="U747" i="19"/>
  <c r="J748" i="19"/>
  <c r="K748" i="19"/>
  <c r="L748" i="19"/>
  <c r="M748" i="19"/>
  <c r="N748" i="19"/>
  <c r="O748" i="19"/>
  <c r="P748" i="19"/>
  <c r="Q748" i="19"/>
  <c r="R748" i="19"/>
  <c r="S748" i="19"/>
  <c r="T748" i="19"/>
  <c r="U748" i="19"/>
  <c r="J749" i="19"/>
  <c r="K749" i="19"/>
  <c r="L749" i="19"/>
  <c r="M749" i="19"/>
  <c r="N749" i="19"/>
  <c r="O749" i="19"/>
  <c r="P749" i="19"/>
  <c r="Q749" i="19"/>
  <c r="R749" i="19"/>
  <c r="S749" i="19"/>
  <c r="T749" i="19"/>
  <c r="U749" i="19"/>
  <c r="J750" i="19"/>
  <c r="K750" i="19"/>
  <c r="L750" i="19"/>
  <c r="M750" i="19"/>
  <c r="N750" i="19"/>
  <c r="O750" i="19"/>
  <c r="P750" i="19"/>
  <c r="Q750" i="19"/>
  <c r="R750" i="19"/>
  <c r="S750" i="19"/>
  <c r="T750" i="19"/>
  <c r="U750" i="19"/>
  <c r="J751" i="19"/>
  <c r="K751" i="19"/>
  <c r="L751" i="19"/>
  <c r="M751" i="19"/>
  <c r="N751" i="19"/>
  <c r="O751" i="19"/>
  <c r="P751" i="19"/>
  <c r="Q751" i="19"/>
  <c r="R751" i="19"/>
  <c r="S751" i="19"/>
  <c r="T751" i="19"/>
  <c r="U751" i="19"/>
  <c r="J752" i="19"/>
  <c r="K752" i="19"/>
  <c r="L752" i="19"/>
  <c r="M752" i="19"/>
  <c r="N752" i="19"/>
  <c r="O752" i="19"/>
  <c r="P752" i="19"/>
  <c r="Q752" i="19"/>
  <c r="R752" i="19"/>
  <c r="S752" i="19"/>
  <c r="T752" i="19"/>
  <c r="U752" i="19"/>
  <c r="J753" i="19"/>
  <c r="K753" i="19"/>
  <c r="L753" i="19"/>
  <c r="M753" i="19"/>
  <c r="N753" i="19"/>
  <c r="O753" i="19"/>
  <c r="P753" i="19"/>
  <c r="Q753" i="19"/>
  <c r="R753" i="19"/>
  <c r="S753" i="19"/>
  <c r="T753" i="19"/>
  <c r="U753" i="19"/>
  <c r="J754" i="19"/>
  <c r="K754" i="19"/>
  <c r="L754" i="19"/>
  <c r="M754" i="19"/>
  <c r="N754" i="19"/>
  <c r="O754" i="19"/>
  <c r="P754" i="19"/>
  <c r="Q754" i="19"/>
  <c r="R754" i="19"/>
  <c r="S754" i="19"/>
  <c r="T754" i="19"/>
  <c r="U754" i="19"/>
  <c r="J755" i="19"/>
  <c r="K755" i="19"/>
  <c r="L755" i="19"/>
  <c r="M755" i="19"/>
  <c r="N755" i="19"/>
  <c r="O755" i="19"/>
  <c r="P755" i="19"/>
  <c r="Q755" i="19"/>
  <c r="R755" i="19"/>
  <c r="S755" i="19"/>
  <c r="T755" i="19"/>
  <c r="U755" i="19"/>
  <c r="J756" i="19"/>
  <c r="K756" i="19"/>
  <c r="L756" i="19"/>
  <c r="M756" i="19"/>
  <c r="N756" i="19"/>
  <c r="O756" i="19"/>
  <c r="P756" i="19"/>
  <c r="Q756" i="19"/>
  <c r="R756" i="19"/>
  <c r="S756" i="19"/>
  <c r="T756" i="19"/>
  <c r="U756" i="19"/>
  <c r="J757" i="19"/>
  <c r="K757" i="19"/>
  <c r="L757" i="19"/>
  <c r="M757" i="19"/>
  <c r="N757" i="19"/>
  <c r="O757" i="19"/>
  <c r="P757" i="19"/>
  <c r="Q757" i="19"/>
  <c r="R757" i="19"/>
  <c r="S757" i="19"/>
  <c r="T757" i="19"/>
  <c r="U757" i="19"/>
  <c r="J758" i="19"/>
  <c r="K758" i="19"/>
  <c r="L758" i="19"/>
  <c r="M758" i="19"/>
  <c r="N758" i="19"/>
  <c r="O758" i="19"/>
  <c r="P758" i="19"/>
  <c r="Q758" i="19"/>
  <c r="R758" i="19"/>
  <c r="S758" i="19"/>
  <c r="T758" i="19"/>
  <c r="U758" i="19"/>
  <c r="J759" i="19"/>
  <c r="K759" i="19"/>
  <c r="L759" i="19"/>
  <c r="M759" i="19"/>
  <c r="N759" i="19"/>
  <c r="O759" i="19"/>
  <c r="P759" i="19"/>
  <c r="Q759" i="19"/>
  <c r="R759" i="19"/>
  <c r="S759" i="19"/>
  <c r="T759" i="19"/>
  <c r="U759" i="19"/>
  <c r="J760" i="19"/>
  <c r="K760" i="19"/>
  <c r="L760" i="19"/>
  <c r="M760" i="19"/>
  <c r="N760" i="19"/>
  <c r="O760" i="19"/>
  <c r="P760" i="19"/>
  <c r="Q760" i="19"/>
  <c r="R760" i="19"/>
  <c r="S760" i="19"/>
  <c r="T760" i="19"/>
  <c r="U760" i="19"/>
  <c r="J761" i="19"/>
  <c r="K761" i="19"/>
  <c r="L761" i="19"/>
  <c r="M761" i="19"/>
  <c r="N761" i="19"/>
  <c r="O761" i="19"/>
  <c r="P761" i="19"/>
  <c r="Q761" i="19"/>
  <c r="R761" i="19"/>
  <c r="S761" i="19"/>
  <c r="T761" i="19"/>
  <c r="U761" i="19"/>
  <c r="J762" i="19"/>
  <c r="K762" i="19"/>
  <c r="L762" i="19"/>
  <c r="M762" i="19"/>
  <c r="N762" i="19"/>
  <c r="O762" i="19"/>
  <c r="P762" i="19"/>
  <c r="Q762" i="19"/>
  <c r="R762" i="19"/>
  <c r="S762" i="19"/>
  <c r="T762" i="19"/>
  <c r="U762" i="19"/>
  <c r="J763" i="19"/>
  <c r="K763" i="19"/>
  <c r="L763" i="19"/>
  <c r="M763" i="19"/>
  <c r="N763" i="19"/>
  <c r="O763" i="19"/>
  <c r="P763" i="19"/>
  <c r="Q763" i="19"/>
  <c r="R763" i="19"/>
  <c r="S763" i="19"/>
  <c r="T763" i="19"/>
  <c r="U763" i="19"/>
  <c r="J764" i="19"/>
  <c r="K764" i="19"/>
  <c r="L764" i="19"/>
  <c r="M764" i="19"/>
  <c r="N764" i="19"/>
  <c r="O764" i="19"/>
  <c r="P764" i="19"/>
  <c r="Q764" i="19"/>
  <c r="R764" i="19"/>
  <c r="S764" i="19"/>
  <c r="T764" i="19"/>
  <c r="U764" i="19"/>
  <c r="J765" i="19"/>
  <c r="K765" i="19"/>
  <c r="L765" i="19"/>
  <c r="M765" i="19"/>
  <c r="N765" i="19"/>
  <c r="O765" i="19"/>
  <c r="P765" i="19"/>
  <c r="Q765" i="19"/>
  <c r="R765" i="19"/>
  <c r="S765" i="19"/>
  <c r="T765" i="19"/>
  <c r="U765" i="19"/>
  <c r="J766" i="19"/>
  <c r="K766" i="19"/>
  <c r="L766" i="19"/>
  <c r="M766" i="19"/>
  <c r="N766" i="19"/>
  <c r="O766" i="19"/>
  <c r="P766" i="19"/>
  <c r="Q766" i="19"/>
  <c r="R766" i="19"/>
  <c r="S766" i="19"/>
  <c r="T766" i="19"/>
  <c r="U766" i="19"/>
  <c r="J767" i="19"/>
  <c r="K767" i="19"/>
  <c r="L767" i="19"/>
  <c r="M767" i="19"/>
  <c r="N767" i="19"/>
  <c r="O767" i="19"/>
  <c r="P767" i="19"/>
  <c r="Q767" i="19"/>
  <c r="R767" i="19"/>
  <c r="S767" i="19"/>
  <c r="T767" i="19"/>
  <c r="U767" i="19"/>
  <c r="J768" i="19"/>
  <c r="K768" i="19"/>
  <c r="L768" i="19"/>
  <c r="M768" i="19"/>
  <c r="N768" i="19"/>
  <c r="O768" i="19"/>
  <c r="P768" i="19"/>
  <c r="Q768" i="19"/>
  <c r="R768" i="19"/>
  <c r="S768" i="19"/>
  <c r="T768" i="19"/>
  <c r="U768" i="19"/>
  <c r="J769" i="19"/>
  <c r="K769" i="19"/>
  <c r="L769" i="19"/>
  <c r="M769" i="19"/>
  <c r="N769" i="19"/>
  <c r="O769" i="19"/>
  <c r="P769" i="19"/>
  <c r="Q769" i="19"/>
  <c r="R769" i="19"/>
  <c r="S769" i="19"/>
  <c r="T769" i="19"/>
  <c r="U769" i="19"/>
  <c r="J770" i="19"/>
  <c r="K770" i="19"/>
  <c r="L770" i="19"/>
  <c r="M770" i="19"/>
  <c r="N770" i="19"/>
  <c r="O770" i="19"/>
  <c r="P770" i="19"/>
  <c r="Q770" i="19"/>
  <c r="R770" i="19"/>
  <c r="S770" i="19"/>
  <c r="T770" i="19"/>
  <c r="U770" i="19"/>
  <c r="J771" i="19"/>
  <c r="K771" i="19"/>
  <c r="L771" i="19"/>
  <c r="M771" i="19"/>
  <c r="N771" i="19"/>
  <c r="O771" i="19"/>
  <c r="P771" i="19"/>
  <c r="Q771" i="19"/>
  <c r="R771" i="19"/>
  <c r="S771" i="19"/>
  <c r="T771" i="19"/>
  <c r="U771" i="19"/>
  <c r="J772" i="19"/>
  <c r="K772" i="19"/>
  <c r="L772" i="19"/>
  <c r="M772" i="19"/>
  <c r="N772" i="19"/>
  <c r="O772" i="19"/>
  <c r="P772" i="19"/>
  <c r="Q772" i="19"/>
  <c r="R772" i="19"/>
  <c r="S772" i="19"/>
  <c r="T772" i="19"/>
  <c r="U772" i="19"/>
  <c r="J773" i="19"/>
  <c r="K773" i="19"/>
  <c r="L773" i="19"/>
  <c r="M773" i="19"/>
  <c r="N773" i="19"/>
  <c r="O773" i="19"/>
  <c r="P773" i="19"/>
  <c r="Q773" i="19"/>
  <c r="R773" i="19"/>
  <c r="S773" i="19"/>
  <c r="T773" i="19"/>
  <c r="U773" i="19"/>
  <c r="J774" i="19"/>
  <c r="K774" i="19"/>
  <c r="L774" i="19"/>
  <c r="M774" i="19"/>
  <c r="N774" i="19"/>
  <c r="O774" i="19"/>
  <c r="P774" i="19"/>
  <c r="Q774" i="19"/>
  <c r="R774" i="19"/>
  <c r="S774" i="19"/>
  <c r="T774" i="19"/>
  <c r="U774" i="19"/>
  <c r="J775" i="19"/>
  <c r="K775" i="19"/>
  <c r="L775" i="19"/>
  <c r="M775" i="19"/>
  <c r="N775" i="19"/>
  <c r="O775" i="19"/>
  <c r="P775" i="19"/>
  <c r="Q775" i="19"/>
  <c r="R775" i="19"/>
  <c r="S775" i="19"/>
  <c r="T775" i="19"/>
  <c r="U775" i="19"/>
  <c r="J776" i="19"/>
  <c r="K776" i="19"/>
  <c r="L776" i="19"/>
  <c r="M776" i="19"/>
  <c r="N776" i="19"/>
  <c r="O776" i="19"/>
  <c r="P776" i="19"/>
  <c r="Q776" i="19"/>
  <c r="R776" i="19"/>
  <c r="S776" i="19"/>
  <c r="T776" i="19"/>
  <c r="U776" i="19"/>
  <c r="J777" i="19"/>
  <c r="K777" i="19"/>
  <c r="L777" i="19"/>
  <c r="M777" i="19"/>
  <c r="N777" i="19"/>
  <c r="O777" i="19"/>
  <c r="P777" i="19"/>
  <c r="Q777" i="19"/>
  <c r="R777" i="19"/>
  <c r="S777" i="19"/>
  <c r="T777" i="19"/>
  <c r="U777" i="19"/>
  <c r="J778" i="19"/>
  <c r="K778" i="19"/>
  <c r="L778" i="19"/>
  <c r="M778" i="19"/>
  <c r="N778" i="19"/>
  <c r="O778" i="19"/>
  <c r="P778" i="19"/>
  <c r="Q778" i="19"/>
  <c r="R778" i="19"/>
  <c r="S778" i="19"/>
  <c r="T778" i="19"/>
  <c r="U778" i="19"/>
  <c r="J779" i="19"/>
  <c r="K779" i="19"/>
  <c r="L779" i="19"/>
  <c r="M779" i="19"/>
  <c r="N779" i="19"/>
  <c r="O779" i="19"/>
  <c r="P779" i="19"/>
  <c r="Q779" i="19"/>
  <c r="R779" i="19"/>
  <c r="S779" i="19"/>
  <c r="T779" i="19"/>
  <c r="U779" i="19"/>
  <c r="J780" i="19"/>
  <c r="K780" i="19"/>
  <c r="L780" i="19"/>
  <c r="M780" i="19"/>
  <c r="N780" i="19"/>
  <c r="O780" i="19"/>
  <c r="P780" i="19"/>
  <c r="Q780" i="19"/>
  <c r="R780" i="19"/>
  <c r="S780" i="19"/>
  <c r="T780" i="19"/>
  <c r="U780" i="19"/>
  <c r="J781" i="19"/>
  <c r="K781" i="19"/>
  <c r="L781" i="19"/>
  <c r="M781" i="19"/>
  <c r="N781" i="19"/>
  <c r="O781" i="19"/>
  <c r="P781" i="19"/>
  <c r="Q781" i="19"/>
  <c r="R781" i="19"/>
  <c r="S781" i="19"/>
  <c r="T781" i="19"/>
  <c r="U781" i="19"/>
  <c r="J782" i="19"/>
  <c r="K782" i="19"/>
  <c r="L782" i="19"/>
  <c r="M782" i="19"/>
  <c r="N782" i="19"/>
  <c r="O782" i="19"/>
  <c r="P782" i="19"/>
  <c r="Q782" i="19"/>
  <c r="R782" i="19"/>
  <c r="S782" i="19"/>
  <c r="T782" i="19"/>
  <c r="U782" i="19"/>
  <c r="J783" i="19"/>
  <c r="K783" i="19"/>
  <c r="L783" i="19"/>
  <c r="M783" i="19"/>
  <c r="N783" i="19"/>
  <c r="O783" i="19"/>
  <c r="P783" i="19"/>
  <c r="Q783" i="19"/>
  <c r="R783" i="19"/>
  <c r="S783" i="19"/>
  <c r="T783" i="19"/>
  <c r="U783" i="19"/>
  <c r="J784" i="19"/>
  <c r="K784" i="19"/>
  <c r="L784" i="19"/>
  <c r="M784" i="19"/>
  <c r="N784" i="19"/>
  <c r="O784" i="19"/>
  <c r="P784" i="19"/>
  <c r="Q784" i="19"/>
  <c r="R784" i="19"/>
  <c r="S784" i="19"/>
  <c r="T784" i="19"/>
  <c r="U784" i="19"/>
  <c r="J785" i="19"/>
  <c r="K785" i="19"/>
  <c r="L785" i="19"/>
  <c r="M785" i="19"/>
  <c r="N785" i="19"/>
  <c r="O785" i="19"/>
  <c r="P785" i="19"/>
  <c r="Q785" i="19"/>
  <c r="R785" i="19"/>
  <c r="S785" i="19"/>
  <c r="T785" i="19"/>
  <c r="U785" i="19"/>
  <c r="J786" i="19"/>
  <c r="K786" i="19"/>
  <c r="L786" i="19"/>
  <c r="M786" i="19"/>
  <c r="N786" i="19"/>
  <c r="O786" i="19"/>
  <c r="P786" i="19"/>
  <c r="Q786" i="19"/>
  <c r="R786" i="19"/>
  <c r="S786" i="19"/>
  <c r="T786" i="19"/>
  <c r="U786" i="19"/>
  <c r="J787" i="19"/>
  <c r="K787" i="19"/>
  <c r="L787" i="19"/>
  <c r="M787" i="19"/>
  <c r="N787" i="19"/>
  <c r="O787" i="19"/>
  <c r="P787" i="19"/>
  <c r="Q787" i="19"/>
  <c r="R787" i="19"/>
  <c r="S787" i="19"/>
  <c r="T787" i="19"/>
  <c r="U787" i="19"/>
  <c r="J788" i="19"/>
  <c r="K788" i="19"/>
  <c r="L788" i="19"/>
  <c r="M788" i="19"/>
  <c r="N788" i="19"/>
  <c r="O788" i="19"/>
  <c r="P788" i="19"/>
  <c r="Q788" i="19"/>
  <c r="R788" i="19"/>
  <c r="S788" i="19"/>
  <c r="T788" i="19"/>
  <c r="U788" i="19"/>
  <c r="J789" i="19"/>
  <c r="K789" i="19"/>
  <c r="L789" i="19"/>
  <c r="M789" i="19"/>
  <c r="N789" i="19"/>
  <c r="O789" i="19"/>
  <c r="P789" i="19"/>
  <c r="Q789" i="19"/>
  <c r="R789" i="19"/>
  <c r="S789" i="19"/>
  <c r="T789" i="19"/>
  <c r="U789" i="19"/>
  <c r="J790" i="19"/>
  <c r="K790" i="19"/>
  <c r="L790" i="19"/>
  <c r="M790" i="19"/>
  <c r="N790" i="19"/>
  <c r="O790" i="19"/>
  <c r="P790" i="19"/>
  <c r="Q790" i="19"/>
  <c r="R790" i="19"/>
  <c r="S790" i="19"/>
  <c r="T790" i="19"/>
  <c r="U790" i="19"/>
  <c r="J791" i="19"/>
  <c r="K791" i="19"/>
  <c r="L791" i="19"/>
  <c r="M791" i="19"/>
  <c r="N791" i="19"/>
  <c r="O791" i="19"/>
  <c r="P791" i="19"/>
  <c r="Q791" i="19"/>
  <c r="R791" i="19"/>
  <c r="S791" i="19"/>
  <c r="T791" i="19"/>
  <c r="U791" i="19"/>
  <c r="J792" i="19"/>
  <c r="K792" i="19"/>
  <c r="L792" i="19"/>
  <c r="M792" i="19"/>
  <c r="N792" i="19"/>
  <c r="O792" i="19"/>
  <c r="P792" i="19"/>
  <c r="Q792" i="19"/>
  <c r="R792" i="19"/>
  <c r="S792" i="19"/>
  <c r="T792" i="19"/>
  <c r="U792" i="19"/>
  <c r="J793" i="19"/>
  <c r="K793" i="19"/>
  <c r="L793" i="19"/>
  <c r="M793" i="19"/>
  <c r="N793" i="19"/>
  <c r="O793" i="19"/>
  <c r="P793" i="19"/>
  <c r="Q793" i="19"/>
  <c r="R793" i="19"/>
  <c r="S793" i="19"/>
  <c r="T793" i="19"/>
  <c r="U793" i="19"/>
  <c r="J794" i="19"/>
  <c r="K794" i="19"/>
  <c r="L794" i="19"/>
  <c r="M794" i="19"/>
  <c r="N794" i="19"/>
  <c r="O794" i="19"/>
  <c r="P794" i="19"/>
  <c r="Q794" i="19"/>
  <c r="R794" i="19"/>
  <c r="S794" i="19"/>
  <c r="T794" i="19"/>
  <c r="U794" i="19"/>
  <c r="J795" i="19"/>
  <c r="K795" i="19"/>
  <c r="L795" i="19"/>
  <c r="M795" i="19"/>
  <c r="N795" i="19"/>
  <c r="O795" i="19"/>
  <c r="P795" i="19"/>
  <c r="Q795" i="19"/>
  <c r="R795" i="19"/>
  <c r="S795" i="19"/>
  <c r="T795" i="19"/>
  <c r="U795" i="19"/>
  <c r="J796" i="19"/>
  <c r="K796" i="19"/>
  <c r="L796" i="19"/>
  <c r="M796" i="19"/>
  <c r="N796" i="19"/>
  <c r="O796" i="19"/>
  <c r="P796" i="19"/>
  <c r="Q796" i="19"/>
  <c r="R796" i="19"/>
  <c r="S796" i="19"/>
  <c r="T796" i="19"/>
  <c r="U796" i="19"/>
  <c r="J797" i="19"/>
  <c r="K797" i="19"/>
  <c r="L797" i="19"/>
  <c r="M797" i="19"/>
  <c r="N797" i="19"/>
  <c r="O797" i="19"/>
  <c r="P797" i="19"/>
  <c r="Q797" i="19"/>
  <c r="R797" i="19"/>
  <c r="S797" i="19"/>
  <c r="T797" i="19"/>
  <c r="U797" i="19"/>
  <c r="J798" i="19"/>
  <c r="K798" i="19"/>
  <c r="L798" i="19"/>
  <c r="M798" i="19"/>
  <c r="N798" i="19"/>
  <c r="O798" i="19"/>
  <c r="P798" i="19"/>
  <c r="Q798" i="19"/>
  <c r="R798" i="19"/>
  <c r="S798" i="19"/>
  <c r="T798" i="19"/>
  <c r="U798" i="19"/>
  <c r="J799" i="19"/>
  <c r="K799" i="19"/>
  <c r="L799" i="19"/>
  <c r="M799" i="19"/>
  <c r="N799" i="19"/>
  <c r="O799" i="19"/>
  <c r="P799" i="19"/>
  <c r="Q799" i="19"/>
  <c r="R799" i="19"/>
  <c r="S799" i="19"/>
  <c r="T799" i="19"/>
  <c r="U799" i="19"/>
  <c r="J800" i="19"/>
  <c r="K800" i="19"/>
  <c r="L800" i="19"/>
  <c r="M800" i="19"/>
  <c r="N800" i="19"/>
  <c r="O800" i="19"/>
  <c r="P800" i="19"/>
  <c r="Q800" i="19"/>
  <c r="R800" i="19"/>
  <c r="S800" i="19"/>
  <c r="T800" i="19"/>
  <c r="U800" i="19"/>
  <c r="J801" i="19"/>
  <c r="K801" i="19"/>
  <c r="L801" i="19"/>
  <c r="M801" i="19"/>
  <c r="N801" i="19"/>
  <c r="O801" i="19"/>
  <c r="P801" i="19"/>
  <c r="Q801" i="19"/>
  <c r="R801" i="19"/>
  <c r="S801" i="19"/>
  <c r="T801" i="19"/>
  <c r="U801" i="19"/>
  <c r="J802" i="19"/>
  <c r="K802" i="19"/>
  <c r="L802" i="19"/>
  <c r="M802" i="19"/>
  <c r="N802" i="19"/>
  <c r="O802" i="19"/>
  <c r="P802" i="19"/>
  <c r="Q802" i="19"/>
  <c r="R802" i="19"/>
  <c r="S802" i="19"/>
  <c r="T802" i="19"/>
  <c r="U802" i="19"/>
  <c r="J803" i="19"/>
  <c r="K803" i="19"/>
  <c r="L803" i="19"/>
  <c r="M803" i="19"/>
  <c r="N803" i="19"/>
  <c r="O803" i="19"/>
  <c r="P803" i="19"/>
  <c r="Q803" i="19"/>
  <c r="R803" i="19"/>
  <c r="S803" i="19"/>
  <c r="T803" i="19"/>
  <c r="U803" i="19"/>
  <c r="J804" i="19"/>
  <c r="K804" i="19"/>
  <c r="L804" i="19"/>
  <c r="M804" i="19"/>
  <c r="N804" i="19"/>
  <c r="O804" i="19"/>
  <c r="P804" i="19"/>
  <c r="Q804" i="19"/>
  <c r="R804" i="19"/>
  <c r="S804" i="19"/>
  <c r="T804" i="19"/>
  <c r="U804" i="19"/>
  <c r="J805" i="19"/>
  <c r="K805" i="19"/>
  <c r="L805" i="19"/>
  <c r="M805" i="19"/>
  <c r="N805" i="19"/>
  <c r="O805" i="19"/>
  <c r="P805" i="19"/>
  <c r="Q805" i="19"/>
  <c r="R805" i="19"/>
  <c r="S805" i="19"/>
  <c r="T805" i="19"/>
  <c r="U805" i="19"/>
  <c r="J806" i="19"/>
  <c r="K806" i="19"/>
  <c r="L806" i="19"/>
  <c r="M806" i="19"/>
  <c r="N806" i="19"/>
  <c r="O806" i="19"/>
  <c r="P806" i="19"/>
  <c r="Q806" i="19"/>
  <c r="R806" i="19"/>
  <c r="S806" i="19"/>
  <c r="T806" i="19"/>
  <c r="U806" i="19"/>
  <c r="J807" i="19"/>
  <c r="K807" i="19"/>
  <c r="L807" i="19"/>
  <c r="M807" i="19"/>
  <c r="N807" i="19"/>
  <c r="O807" i="19"/>
  <c r="P807" i="19"/>
  <c r="Q807" i="19"/>
  <c r="R807" i="19"/>
  <c r="S807" i="19"/>
  <c r="T807" i="19"/>
  <c r="U807" i="19"/>
  <c r="J808" i="19"/>
  <c r="K808" i="19"/>
  <c r="L808" i="19"/>
  <c r="M808" i="19"/>
  <c r="N808" i="19"/>
  <c r="O808" i="19"/>
  <c r="P808" i="19"/>
  <c r="Q808" i="19"/>
  <c r="R808" i="19"/>
  <c r="S808" i="19"/>
  <c r="T808" i="19"/>
  <c r="U808" i="19"/>
  <c r="J809" i="19"/>
  <c r="K809" i="19"/>
  <c r="L809" i="19"/>
  <c r="M809" i="19"/>
  <c r="N809" i="19"/>
  <c r="O809" i="19"/>
  <c r="P809" i="19"/>
  <c r="Q809" i="19"/>
  <c r="R809" i="19"/>
  <c r="S809" i="19"/>
  <c r="T809" i="19"/>
  <c r="U809" i="19"/>
  <c r="J810" i="19"/>
  <c r="K810" i="19"/>
  <c r="L810" i="19"/>
  <c r="M810" i="19"/>
  <c r="N810" i="19"/>
  <c r="O810" i="19"/>
  <c r="P810" i="19"/>
  <c r="Q810" i="19"/>
  <c r="R810" i="19"/>
  <c r="S810" i="19"/>
  <c r="T810" i="19"/>
  <c r="U810" i="19"/>
  <c r="J811" i="19"/>
  <c r="K811" i="19"/>
  <c r="L811" i="19"/>
  <c r="M811" i="19"/>
  <c r="N811" i="19"/>
  <c r="O811" i="19"/>
  <c r="P811" i="19"/>
  <c r="Q811" i="19"/>
  <c r="R811" i="19"/>
  <c r="S811" i="19"/>
  <c r="T811" i="19"/>
  <c r="U811" i="19"/>
  <c r="J812" i="19"/>
  <c r="K812" i="19"/>
  <c r="L812" i="19"/>
  <c r="M812" i="19"/>
  <c r="N812" i="19"/>
  <c r="O812" i="19"/>
  <c r="P812" i="19"/>
  <c r="Q812" i="19"/>
  <c r="R812" i="19"/>
  <c r="S812" i="19"/>
  <c r="T812" i="19"/>
  <c r="U812" i="19"/>
  <c r="J813" i="19"/>
  <c r="K813" i="19"/>
  <c r="L813" i="19"/>
  <c r="M813" i="19"/>
  <c r="N813" i="19"/>
  <c r="O813" i="19"/>
  <c r="P813" i="19"/>
  <c r="Q813" i="19"/>
  <c r="R813" i="19"/>
  <c r="S813" i="19"/>
  <c r="T813" i="19"/>
  <c r="U813" i="19"/>
  <c r="J814" i="19"/>
  <c r="K814" i="19"/>
  <c r="L814" i="19"/>
  <c r="M814" i="19"/>
  <c r="N814" i="19"/>
  <c r="O814" i="19"/>
  <c r="P814" i="19"/>
  <c r="Q814" i="19"/>
  <c r="R814" i="19"/>
  <c r="S814" i="19"/>
  <c r="T814" i="19"/>
  <c r="U814" i="19"/>
  <c r="J815" i="19"/>
  <c r="K815" i="19"/>
  <c r="L815" i="19"/>
  <c r="M815" i="19"/>
  <c r="N815" i="19"/>
  <c r="O815" i="19"/>
  <c r="P815" i="19"/>
  <c r="Q815" i="19"/>
  <c r="R815" i="19"/>
  <c r="S815" i="19"/>
  <c r="T815" i="19"/>
  <c r="U815" i="19"/>
  <c r="J816" i="19"/>
  <c r="K816" i="19"/>
  <c r="L816" i="19"/>
  <c r="M816" i="19"/>
  <c r="N816" i="19"/>
  <c r="O816" i="19"/>
  <c r="P816" i="19"/>
  <c r="Q816" i="19"/>
  <c r="R816" i="19"/>
  <c r="S816" i="19"/>
  <c r="T816" i="19"/>
  <c r="U816" i="19"/>
  <c r="J817" i="19"/>
  <c r="K817" i="19"/>
  <c r="L817" i="19"/>
  <c r="M817" i="19"/>
  <c r="N817" i="19"/>
  <c r="O817" i="19"/>
  <c r="P817" i="19"/>
  <c r="Q817" i="19"/>
  <c r="R817" i="19"/>
  <c r="S817" i="19"/>
  <c r="T817" i="19"/>
  <c r="U817" i="19"/>
  <c r="J818" i="19"/>
  <c r="K818" i="19"/>
  <c r="L818" i="19"/>
  <c r="M818" i="19"/>
  <c r="N818" i="19"/>
  <c r="O818" i="19"/>
  <c r="P818" i="19"/>
  <c r="Q818" i="19"/>
  <c r="R818" i="19"/>
  <c r="S818" i="19"/>
  <c r="T818" i="19"/>
  <c r="U818" i="19"/>
  <c r="J819" i="19"/>
  <c r="K819" i="19"/>
  <c r="L819" i="19"/>
  <c r="M819" i="19"/>
  <c r="N819" i="19"/>
  <c r="O819" i="19"/>
  <c r="P819" i="19"/>
  <c r="Q819" i="19"/>
  <c r="R819" i="19"/>
  <c r="S819" i="19"/>
  <c r="T819" i="19"/>
  <c r="U819" i="19"/>
  <c r="J820" i="19"/>
  <c r="K820" i="19"/>
  <c r="L820" i="19"/>
  <c r="M820" i="19"/>
  <c r="N820" i="19"/>
  <c r="O820" i="19"/>
  <c r="P820" i="19"/>
  <c r="Q820" i="19"/>
  <c r="R820" i="19"/>
  <c r="S820" i="19"/>
  <c r="T820" i="19"/>
  <c r="U820" i="19"/>
  <c r="J821" i="19"/>
  <c r="K821" i="19"/>
  <c r="L821" i="19"/>
  <c r="M821" i="19"/>
  <c r="N821" i="19"/>
  <c r="O821" i="19"/>
  <c r="P821" i="19"/>
  <c r="Q821" i="19"/>
  <c r="R821" i="19"/>
  <c r="S821" i="19"/>
  <c r="T821" i="19"/>
  <c r="U821" i="19"/>
  <c r="J822" i="19"/>
  <c r="K822" i="19"/>
  <c r="L822" i="19"/>
  <c r="M822" i="19"/>
  <c r="N822" i="19"/>
  <c r="O822" i="19"/>
  <c r="P822" i="19"/>
  <c r="Q822" i="19"/>
  <c r="R822" i="19"/>
  <c r="S822" i="19"/>
  <c r="T822" i="19"/>
  <c r="U822" i="19"/>
  <c r="J823" i="19"/>
  <c r="K823" i="19"/>
  <c r="L823" i="19"/>
  <c r="M823" i="19"/>
  <c r="N823" i="19"/>
  <c r="O823" i="19"/>
  <c r="P823" i="19"/>
  <c r="Q823" i="19"/>
  <c r="R823" i="19"/>
  <c r="S823" i="19"/>
  <c r="T823" i="19"/>
  <c r="U823" i="19"/>
  <c r="J824" i="19"/>
  <c r="K824" i="19"/>
  <c r="L824" i="19"/>
  <c r="M824" i="19"/>
  <c r="N824" i="19"/>
  <c r="O824" i="19"/>
  <c r="P824" i="19"/>
  <c r="Q824" i="19"/>
  <c r="R824" i="19"/>
  <c r="S824" i="19"/>
  <c r="T824" i="19"/>
  <c r="U824" i="19"/>
  <c r="J825" i="19"/>
  <c r="K825" i="19"/>
  <c r="L825" i="19"/>
  <c r="M825" i="19"/>
  <c r="N825" i="19"/>
  <c r="O825" i="19"/>
  <c r="P825" i="19"/>
  <c r="Q825" i="19"/>
  <c r="R825" i="19"/>
  <c r="S825" i="19"/>
  <c r="T825" i="19"/>
  <c r="U825" i="19"/>
  <c r="J826" i="19"/>
  <c r="K826" i="19"/>
  <c r="L826" i="19"/>
  <c r="M826" i="19"/>
  <c r="N826" i="19"/>
  <c r="O826" i="19"/>
  <c r="P826" i="19"/>
  <c r="Q826" i="19"/>
  <c r="R826" i="19"/>
  <c r="S826" i="19"/>
  <c r="T826" i="19"/>
  <c r="U826" i="19"/>
  <c r="J827" i="19"/>
  <c r="K827" i="19"/>
  <c r="L827" i="19"/>
  <c r="M827" i="19"/>
  <c r="N827" i="19"/>
  <c r="O827" i="19"/>
  <c r="P827" i="19"/>
  <c r="Q827" i="19"/>
  <c r="R827" i="19"/>
  <c r="S827" i="19"/>
  <c r="T827" i="19"/>
  <c r="U827" i="19"/>
  <c r="J828" i="19"/>
  <c r="K828" i="19"/>
  <c r="L828" i="19"/>
  <c r="M828" i="19"/>
  <c r="N828" i="19"/>
  <c r="O828" i="19"/>
  <c r="P828" i="19"/>
  <c r="Q828" i="19"/>
  <c r="R828" i="19"/>
  <c r="S828" i="19"/>
  <c r="T828" i="19"/>
  <c r="U828" i="19"/>
  <c r="J829" i="19"/>
  <c r="K829" i="19"/>
  <c r="L829" i="19"/>
  <c r="M829" i="19"/>
  <c r="N829" i="19"/>
  <c r="O829" i="19"/>
  <c r="P829" i="19"/>
  <c r="Q829" i="19"/>
  <c r="R829" i="19"/>
  <c r="S829" i="19"/>
  <c r="T829" i="19"/>
  <c r="U829" i="19"/>
  <c r="J830" i="19"/>
  <c r="K830" i="19"/>
  <c r="L830" i="19"/>
  <c r="M830" i="19"/>
  <c r="N830" i="19"/>
  <c r="O830" i="19"/>
  <c r="P830" i="19"/>
  <c r="Q830" i="19"/>
  <c r="R830" i="19"/>
  <c r="S830" i="19"/>
  <c r="T830" i="19"/>
  <c r="U830" i="19"/>
  <c r="J831" i="19"/>
  <c r="K831" i="19"/>
  <c r="L831" i="19"/>
  <c r="M831" i="19"/>
  <c r="N831" i="19"/>
  <c r="O831" i="19"/>
  <c r="P831" i="19"/>
  <c r="Q831" i="19"/>
  <c r="R831" i="19"/>
  <c r="S831" i="19"/>
  <c r="T831" i="19"/>
  <c r="U831" i="19"/>
  <c r="J832" i="19"/>
  <c r="K832" i="19"/>
  <c r="L832" i="19"/>
  <c r="M832" i="19"/>
  <c r="N832" i="19"/>
  <c r="O832" i="19"/>
  <c r="P832" i="19"/>
  <c r="Q832" i="19"/>
  <c r="R832" i="19"/>
  <c r="S832" i="19"/>
  <c r="T832" i="19"/>
  <c r="U832" i="19"/>
  <c r="J833" i="19"/>
  <c r="K833" i="19"/>
  <c r="L833" i="19"/>
  <c r="M833" i="19"/>
  <c r="N833" i="19"/>
  <c r="O833" i="19"/>
  <c r="P833" i="19"/>
  <c r="Q833" i="19"/>
  <c r="R833" i="19"/>
  <c r="S833" i="19"/>
  <c r="T833" i="19"/>
  <c r="U833" i="19"/>
  <c r="J834" i="19"/>
  <c r="K834" i="19"/>
  <c r="L834" i="19"/>
  <c r="M834" i="19"/>
  <c r="N834" i="19"/>
  <c r="O834" i="19"/>
  <c r="P834" i="19"/>
  <c r="Q834" i="19"/>
  <c r="R834" i="19"/>
  <c r="S834" i="19"/>
  <c r="T834" i="19"/>
  <c r="U834" i="19"/>
  <c r="J835" i="19"/>
  <c r="K835" i="19"/>
  <c r="L835" i="19"/>
  <c r="M835" i="19"/>
  <c r="N835" i="19"/>
  <c r="O835" i="19"/>
  <c r="P835" i="19"/>
  <c r="Q835" i="19"/>
  <c r="R835" i="19"/>
  <c r="S835" i="19"/>
  <c r="T835" i="19"/>
  <c r="U835" i="19"/>
  <c r="J836" i="19"/>
  <c r="K836" i="19"/>
  <c r="L836" i="19"/>
  <c r="M836" i="19"/>
  <c r="N836" i="19"/>
  <c r="O836" i="19"/>
  <c r="P836" i="19"/>
  <c r="Q836" i="19"/>
  <c r="R836" i="19"/>
  <c r="S836" i="19"/>
  <c r="T836" i="19"/>
  <c r="U836" i="19"/>
  <c r="J837" i="19"/>
  <c r="K837" i="19"/>
  <c r="L837" i="19"/>
  <c r="M837" i="19"/>
  <c r="N837" i="19"/>
  <c r="O837" i="19"/>
  <c r="P837" i="19"/>
  <c r="Q837" i="19"/>
  <c r="R837" i="19"/>
  <c r="S837" i="19"/>
  <c r="T837" i="19"/>
  <c r="U837" i="19"/>
  <c r="J838" i="19"/>
  <c r="K838" i="19"/>
  <c r="L838" i="19"/>
  <c r="M838" i="19"/>
  <c r="N838" i="19"/>
  <c r="O838" i="19"/>
  <c r="P838" i="19"/>
  <c r="Q838" i="19"/>
  <c r="R838" i="19"/>
  <c r="S838" i="19"/>
  <c r="T838" i="19"/>
  <c r="U838" i="19"/>
  <c r="J839" i="19"/>
  <c r="K839" i="19"/>
  <c r="L839" i="19"/>
  <c r="M839" i="19"/>
  <c r="N839" i="19"/>
  <c r="O839" i="19"/>
  <c r="P839" i="19"/>
  <c r="Q839" i="19"/>
  <c r="R839" i="19"/>
  <c r="S839" i="19"/>
  <c r="T839" i="19"/>
  <c r="U839" i="19"/>
  <c r="J840" i="19"/>
  <c r="K840" i="19"/>
  <c r="L840" i="19"/>
  <c r="M840" i="19"/>
  <c r="N840" i="19"/>
  <c r="O840" i="19"/>
  <c r="P840" i="19"/>
  <c r="Q840" i="19"/>
  <c r="R840" i="19"/>
  <c r="S840" i="19"/>
  <c r="T840" i="19"/>
  <c r="U840" i="19"/>
  <c r="J841" i="19"/>
  <c r="K841" i="19"/>
  <c r="L841" i="19"/>
  <c r="M841" i="19"/>
  <c r="N841" i="19"/>
  <c r="O841" i="19"/>
  <c r="P841" i="19"/>
  <c r="Q841" i="19"/>
  <c r="R841" i="19"/>
  <c r="S841" i="19"/>
  <c r="T841" i="19"/>
  <c r="U841" i="19"/>
  <c r="J842" i="19"/>
  <c r="K842" i="19"/>
  <c r="L842" i="19"/>
  <c r="M842" i="19"/>
  <c r="N842" i="19"/>
  <c r="O842" i="19"/>
  <c r="P842" i="19"/>
  <c r="Q842" i="19"/>
  <c r="R842" i="19"/>
  <c r="S842" i="19"/>
  <c r="T842" i="19"/>
  <c r="U842" i="19"/>
  <c r="J843" i="19"/>
  <c r="K843" i="19"/>
  <c r="L843" i="19"/>
  <c r="M843" i="19"/>
  <c r="N843" i="19"/>
  <c r="O843" i="19"/>
  <c r="P843" i="19"/>
  <c r="Q843" i="19"/>
  <c r="R843" i="19"/>
  <c r="S843" i="19"/>
  <c r="T843" i="19"/>
  <c r="U843" i="19"/>
  <c r="J844" i="19"/>
  <c r="K844" i="19"/>
  <c r="L844" i="19"/>
  <c r="M844" i="19"/>
  <c r="N844" i="19"/>
  <c r="O844" i="19"/>
  <c r="P844" i="19"/>
  <c r="Q844" i="19"/>
  <c r="R844" i="19"/>
  <c r="S844" i="19"/>
  <c r="T844" i="19"/>
  <c r="U844" i="19"/>
  <c r="J845" i="19"/>
  <c r="K845" i="19"/>
  <c r="L845" i="19"/>
  <c r="M845" i="19"/>
  <c r="N845" i="19"/>
  <c r="O845" i="19"/>
  <c r="P845" i="19"/>
  <c r="Q845" i="19"/>
  <c r="R845" i="19"/>
  <c r="S845" i="19"/>
  <c r="T845" i="19"/>
  <c r="U845" i="19"/>
  <c r="J846" i="19"/>
  <c r="K846" i="19"/>
  <c r="L846" i="19"/>
  <c r="M846" i="19"/>
  <c r="N846" i="19"/>
  <c r="O846" i="19"/>
  <c r="P846" i="19"/>
  <c r="Q846" i="19"/>
  <c r="R846" i="19"/>
  <c r="S846" i="19"/>
  <c r="T846" i="19"/>
  <c r="U846" i="19"/>
  <c r="J847" i="19"/>
  <c r="K847" i="19"/>
  <c r="L847" i="19"/>
  <c r="M847" i="19"/>
  <c r="N847" i="19"/>
  <c r="O847" i="19"/>
  <c r="P847" i="19"/>
  <c r="Q847" i="19"/>
  <c r="R847" i="19"/>
  <c r="S847" i="19"/>
  <c r="T847" i="19"/>
  <c r="U847" i="19"/>
  <c r="J848" i="19"/>
  <c r="K848" i="19"/>
  <c r="L848" i="19"/>
  <c r="M848" i="19"/>
  <c r="N848" i="19"/>
  <c r="O848" i="19"/>
  <c r="P848" i="19"/>
  <c r="Q848" i="19"/>
  <c r="R848" i="19"/>
  <c r="S848" i="19"/>
  <c r="T848" i="19"/>
  <c r="U848" i="19"/>
  <c r="J849" i="19"/>
  <c r="K849" i="19"/>
  <c r="L849" i="19"/>
  <c r="M849" i="19"/>
  <c r="N849" i="19"/>
  <c r="O849" i="19"/>
  <c r="P849" i="19"/>
  <c r="Q849" i="19"/>
  <c r="R849" i="19"/>
  <c r="S849" i="19"/>
  <c r="T849" i="19"/>
  <c r="U849" i="19"/>
  <c r="J850" i="19"/>
  <c r="K850" i="19"/>
  <c r="L850" i="19"/>
  <c r="M850" i="19"/>
  <c r="N850" i="19"/>
  <c r="O850" i="19"/>
  <c r="P850" i="19"/>
  <c r="Q850" i="19"/>
  <c r="R850" i="19"/>
  <c r="S850" i="19"/>
  <c r="T850" i="19"/>
  <c r="U850" i="19"/>
  <c r="J851" i="19"/>
  <c r="K851" i="19"/>
  <c r="L851" i="19"/>
  <c r="M851" i="19"/>
  <c r="N851" i="19"/>
  <c r="O851" i="19"/>
  <c r="P851" i="19"/>
  <c r="Q851" i="19"/>
  <c r="R851" i="19"/>
  <c r="S851" i="19"/>
  <c r="T851" i="19"/>
  <c r="U851" i="19"/>
  <c r="J852" i="19"/>
  <c r="K852" i="19"/>
  <c r="L852" i="19"/>
  <c r="M852" i="19"/>
  <c r="N852" i="19"/>
  <c r="O852" i="19"/>
  <c r="P852" i="19"/>
  <c r="Q852" i="19"/>
  <c r="R852" i="19"/>
  <c r="S852" i="19"/>
  <c r="T852" i="19"/>
  <c r="U852" i="19"/>
  <c r="J853" i="19"/>
  <c r="K853" i="19"/>
  <c r="L853" i="19"/>
  <c r="M853" i="19"/>
  <c r="N853" i="19"/>
  <c r="O853" i="19"/>
  <c r="P853" i="19"/>
  <c r="Q853" i="19"/>
  <c r="R853" i="19"/>
  <c r="S853" i="19"/>
  <c r="T853" i="19"/>
  <c r="U853" i="19"/>
  <c r="J854" i="19"/>
  <c r="K854" i="19"/>
  <c r="L854" i="19"/>
  <c r="M854" i="19"/>
  <c r="N854" i="19"/>
  <c r="O854" i="19"/>
  <c r="P854" i="19"/>
  <c r="Q854" i="19"/>
  <c r="R854" i="19"/>
  <c r="S854" i="19"/>
  <c r="T854" i="19"/>
  <c r="U854" i="19"/>
  <c r="J855" i="19"/>
  <c r="K855" i="19"/>
  <c r="L855" i="19"/>
  <c r="M855" i="19"/>
  <c r="N855" i="19"/>
  <c r="O855" i="19"/>
  <c r="P855" i="19"/>
  <c r="Q855" i="19"/>
  <c r="R855" i="19"/>
  <c r="S855" i="19"/>
  <c r="T855" i="19"/>
  <c r="U855" i="19"/>
  <c r="J856" i="19"/>
  <c r="K856" i="19"/>
  <c r="L856" i="19"/>
  <c r="M856" i="19"/>
  <c r="N856" i="19"/>
  <c r="O856" i="19"/>
  <c r="P856" i="19"/>
  <c r="Q856" i="19"/>
  <c r="R856" i="19"/>
  <c r="S856" i="19"/>
  <c r="T856" i="19"/>
  <c r="U856" i="19"/>
  <c r="J857" i="19"/>
  <c r="K857" i="19"/>
  <c r="L857" i="19"/>
  <c r="M857" i="19"/>
  <c r="N857" i="19"/>
  <c r="O857" i="19"/>
  <c r="P857" i="19"/>
  <c r="Q857" i="19"/>
  <c r="R857" i="19"/>
  <c r="S857" i="19"/>
  <c r="T857" i="19"/>
  <c r="U857" i="19"/>
  <c r="J858" i="19"/>
  <c r="K858" i="19"/>
  <c r="L858" i="19"/>
  <c r="M858" i="19"/>
  <c r="N858" i="19"/>
  <c r="O858" i="19"/>
  <c r="P858" i="19"/>
  <c r="Q858" i="19"/>
  <c r="R858" i="19"/>
  <c r="S858" i="19"/>
  <c r="T858" i="19"/>
  <c r="U858" i="19"/>
  <c r="J859" i="19"/>
  <c r="K859" i="19"/>
  <c r="L859" i="19"/>
  <c r="M859" i="19"/>
  <c r="N859" i="19"/>
  <c r="O859" i="19"/>
  <c r="P859" i="19"/>
  <c r="Q859" i="19"/>
  <c r="R859" i="19"/>
  <c r="S859" i="19"/>
  <c r="T859" i="19"/>
  <c r="U859" i="19"/>
  <c r="J860" i="19"/>
  <c r="K860" i="19"/>
  <c r="L860" i="19"/>
  <c r="M860" i="19"/>
  <c r="N860" i="19"/>
  <c r="O860" i="19"/>
  <c r="P860" i="19"/>
  <c r="Q860" i="19"/>
  <c r="R860" i="19"/>
  <c r="S860" i="19"/>
  <c r="T860" i="19"/>
  <c r="U860" i="19"/>
  <c r="J861" i="19"/>
  <c r="K861" i="19"/>
  <c r="L861" i="19"/>
  <c r="M861" i="19"/>
  <c r="N861" i="19"/>
  <c r="O861" i="19"/>
  <c r="P861" i="19"/>
  <c r="Q861" i="19"/>
  <c r="R861" i="19"/>
  <c r="S861" i="19"/>
  <c r="T861" i="19"/>
  <c r="U861" i="19"/>
  <c r="J862" i="19"/>
  <c r="K862" i="19"/>
  <c r="L862" i="19"/>
  <c r="M862" i="19"/>
  <c r="N862" i="19"/>
  <c r="O862" i="19"/>
  <c r="P862" i="19"/>
  <c r="Q862" i="19"/>
  <c r="R862" i="19"/>
  <c r="S862" i="19"/>
  <c r="T862" i="19"/>
  <c r="U862" i="19"/>
  <c r="J863" i="19"/>
  <c r="K863" i="19"/>
  <c r="L863" i="19"/>
  <c r="M863" i="19"/>
  <c r="N863" i="19"/>
  <c r="O863" i="19"/>
  <c r="P863" i="19"/>
  <c r="Q863" i="19"/>
  <c r="R863" i="19"/>
  <c r="S863" i="19"/>
  <c r="T863" i="19"/>
  <c r="U863" i="19"/>
  <c r="J864" i="19"/>
  <c r="K864" i="19"/>
  <c r="L864" i="19"/>
  <c r="M864" i="19"/>
  <c r="N864" i="19"/>
  <c r="O864" i="19"/>
  <c r="P864" i="19"/>
  <c r="Q864" i="19"/>
  <c r="R864" i="19"/>
  <c r="S864" i="19"/>
  <c r="T864" i="19"/>
  <c r="U864" i="19"/>
  <c r="J865" i="19"/>
  <c r="K865" i="19"/>
  <c r="L865" i="19"/>
  <c r="M865" i="19"/>
  <c r="N865" i="19"/>
  <c r="O865" i="19"/>
  <c r="P865" i="19"/>
  <c r="Q865" i="19"/>
  <c r="R865" i="19"/>
  <c r="S865" i="19"/>
  <c r="T865" i="19"/>
  <c r="U865" i="19"/>
  <c r="J866" i="19"/>
  <c r="K866" i="19"/>
  <c r="L866" i="19"/>
  <c r="M866" i="19"/>
  <c r="N866" i="19"/>
  <c r="O866" i="19"/>
  <c r="P866" i="19"/>
  <c r="Q866" i="19"/>
  <c r="R866" i="19"/>
  <c r="S866" i="19"/>
  <c r="T866" i="19"/>
  <c r="U866" i="19"/>
  <c r="J867" i="19"/>
  <c r="K867" i="19"/>
  <c r="L867" i="19"/>
  <c r="M867" i="19"/>
  <c r="N867" i="19"/>
  <c r="O867" i="19"/>
  <c r="P867" i="19"/>
  <c r="Q867" i="19"/>
  <c r="R867" i="19"/>
  <c r="S867" i="19"/>
  <c r="T867" i="19"/>
  <c r="U867" i="19"/>
  <c r="J868" i="19"/>
  <c r="K868" i="19"/>
  <c r="L868" i="19"/>
  <c r="M868" i="19"/>
  <c r="N868" i="19"/>
  <c r="O868" i="19"/>
  <c r="P868" i="19"/>
  <c r="Q868" i="19"/>
  <c r="R868" i="19"/>
  <c r="S868" i="19"/>
  <c r="T868" i="19"/>
  <c r="U868" i="19"/>
  <c r="J869" i="19"/>
  <c r="K869" i="19"/>
  <c r="L869" i="19"/>
  <c r="M869" i="19"/>
  <c r="N869" i="19"/>
  <c r="O869" i="19"/>
  <c r="P869" i="19"/>
  <c r="Q869" i="19"/>
  <c r="R869" i="19"/>
  <c r="S869" i="19"/>
  <c r="T869" i="19"/>
  <c r="U869" i="19"/>
  <c r="J870" i="19"/>
  <c r="K870" i="19"/>
  <c r="L870" i="19"/>
  <c r="M870" i="19"/>
  <c r="N870" i="19"/>
  <c r="O870" i="19"/>
  <c r="P870" i="19"/>
  <c r="Q870" i="19"/>
  <c r="R870" i="19"/>
  <c r="S870" i="19"/>
  <c r="T870" i="19"/>
  <c r="U870" i="19"/>
  <c r="J246" i="19"/>
  <c r="K246" i="19"/>
  <c r="L246" i="19"/>
  <c r="M246" i="19"/>
  <c r="N246" i="19"/>
  <c r="O246" i="19"/>
  <c r="P246" i="19"/>
  <c r="Q246" i="19"/>
  <c r="R246" i="19"/>
  <c r="S246" i="19"/>
  <c r="T246" i="19"/>
  <c r="U246" i="19"/>
  <c r="E6" i="19"/>
  <c r="F6" i="19"/>
  <c r="G6" i="19"/>
  <c r="E7" i="19"/>
  <c r="F7" i="19"/>
  <c r="G7" i="19"/>
  <c r="E8" i="19"/>
  <c r="F8" i="19"/>
  <c r="G8" i="19"/>
  <c r="E9" i="19"/>
  <c r="F9" i="19"/>
  <c r="G9" i="19"/>
  <c r="E10" i="19"/>
  <c r="F10" i="19"/>
  <c r="G10" i="19"/>
  <c r="E11" i="19"/>
  <c r="F11" i="19"/>
  <c r="G11" i="19"/>
  <c r="E12" i="19"/>
  <c r="F12" i="19"/>
  <c r="G12" i="19"/>
  <c r="E13" i="19"/>
  <c r="F13" i="19"/>
  <c r="G13" i="19"/>
  <c r="E14" i="19"/>
  <c r="F14" i="19"/>
  <c r="G14" i="19"/>
  <c r="E15" i="19"/>
  <c r="F15" i="19"/>
  <c r="G15" i="19"/>
  <c r="E16" i="19"/>
  <c r="F16" i="19"/>
  <c r="G16" i="19"/>
  <c r="E17" i="19"/>
  <c r="F17" i="19"/>
  <c r="G17" i="19"/>
  <c r="E18" i="19"/>
  <c r="F18" i="19"/>
  <c r="G18" i="19"/>
  <c r="E19" i="19"/>
  <c r="F19" i="19"/>
  <c r="G19" i="19"/>
  <c r="E20" i="19"/>
  <c r="F20" i="19"/>
  <c r="G20" i="19"/>
  <c r="E21" i="19"/>
  <c r="F21" i="19"/>
  <c r="G21" i="19"/>
  <c r="E22" i="19"/>
  <c r="F22" i="19"/>
  <c r="G22" i="19"/>
  <c r="E23" i="19"/>
  <c r="F23" i="19"/>
  <c r="G23" i="19"/>
  <c r="E24" i="19"/>
  <c r="F24" i="19"/>
  <c r="G24" i="19"/>
  <c r="E25" i="19"/>
  <c r="F25" i="19"/>
  <c r="G25" i="19"/>
  <c r="E26" i="19"/>
  <c r="F26" i="19"/>
  <c r="G26" i="19"/>
  <c r="E27" i="19"/>
  <c r="F27" i="19"/>
  <c r="G27" i="19"/>
  <c r="E28" i="19"/>
  <c r="F28" i="19"/>
  <c r="G28" i="19"/>
  <c r="E29" i="19"/>
  <c r="F29" i="19"/>
  <c r="G29" i="19"/>
  <c r="E30" i="19"/>
  <c r="F30" i="19"/>
  <c r="G30" i="19"/>
  <c r="E31" i="19"/>
  <c r="F31" i="19"/>
  <c r="G31" i="19"/>
  <c r="E32" i="19"/>
  <c r="F32" i="19"/>
  <c r="G32" i="19"/>
  <c r="E33" i="19"/>
  <c r="F33" i="19"/>
  <c r="G33" i="19"/>
  <c r="E34" i="19"/>
  <c r="F34" i="19"/>
  <c r="G34" i="19"/>
  <c r="E35" i="19"/>
  <c r="F35" i="19"/>
  <c r="G35" i="19"/>
  <c r="E36" i="19"/>
  <c r="F36" i="19"/>
  <c r="G36" i="19"/>
  <c r="E37" i="19"/>
  <c r="F37" i="19"/>
  <c r="G37" i="19"/>
  <c r="E38" i="19"/>
  <c r="F38" i="19"/>
  <c r="G38" i="19"/>
  <c r="E39" i="19"/>
  <c r="F39" i="19"/>
  <c r="G39" i="19"/>
  <c r="E40" i="19"/>
  <c r="F40" i="19"/>
  <c r="G40" i="19"/>
  <c r="E41" i="19"/>
  <c r="F41" i="19"/>
  <c r="G41" i="19"/>
  <c r="E42" i="19"/>
  <c r="F42" i="19"/>
  <c r="G42" i="19"/>
  <c r="E43" i="19"/>
  <c r="F43" i="19"/>
  <c r="G43" i="19"/>
  <c r="E44" i="19"/>
  <c r="F44" i="19"/>
  <c r="G44" i="19"/>
  <c r="E45" i="19"/>
  <c r="F45" i="19"/>
  <c r="G45" i="19"/>
  <c r="E46" i="19"/>
  <c r="F46" i="19"/>
  <c r="G46" i="19"/>
  <c r="E47" i="19"/>
  <c r="F47" i="19"/>
  <c r="G47" i="19"/>
  <c r="E48" i="19"/>
  <c r="F48" i="19"/>
  <c r="G48" i="19"/>
  <c r="E49" i="19"/>
  <c r="F49" i="19"/>
  <c r="G49" i="19"/>
  <c r="E50" i="19"/>
  <c r="F50" i="19"/>
  <c r="G50" i="19"/>
  <c r="E51" i="19"/>
  <c r="F51" i="19"/>
  <c r="G51" i="19"/>
  <c r="E52" i="19"/>
  <c r="F52" i="19"/>
  <c r="G52" i="19"/>
  <c r="E53" i="19"/>
  <c r="F53" i="19"/>
  <c r="G53" i="19"/>
  <c r="E54" i="19"/>
  <c r="F54" i="19"/>
  <c r="G54" i="19"/>
  <c r="E55" i="19"/>
  <c r="F55" i="19"/>
  <c r="G55" i="19"/>
  <c r="E56" i="19"/>
  <c r="F56" i="19"/>
  <c r="G56" i="19"/>
  <c r="E57" i="19"/>
  <c r="F57" i="19"/>
  <c r="G57" i="19"/>
  <c r="E58" i="19"/>
  <c r="F58" i="19"/>
  <c r="G58" i="19"/>
  <c r="E59" i="19"/>
  <c r="F59" i="19"/>
  <c r="G59" i="19"/>
  <c r="E60" i="19"/>
  <c r="F60" i="19"/>
  <c r="G60" i="19"/>
  <c r="E61" i="19"/>
  <c r="F61" i="19"/>
  <c r="G61" i="19"/>
  <c r="E62" i="19"/>
  <c r="F62" i="19"/>
  <c r="G62" i="19"/>
  <c r="E63" i="19"/>
  <c r="F63" i="19"/>
  <c r="G63" i="19"/>
  <c r="E64" i="19"/>
  <c r="F64" i="19"/>
  <c r="G64" i="19"/>
  <c r="E65" i="19"/>
  <c r="F65" i="19"/>
  <c r="G65" i="19"/>
  <c r="E66" i="19"/>
  <c r="F66" i="19"/>
  <c r="G66" i="19"/>
  <c r="E67" i="19"/>
  <c r="F67" i="19"/>
  <c r="G67" i="19"/>
  <c r="E68" i="19"/>
  <c r="F68" i="19"/>
  <c r="G68" i="19"/>
  <c r="E69" i="19"/>
  <c r="F69" i="19"/>
  <c r="G69" i="19"/>
  <c r="E70" i="19"/>
  <c r="F70" i="19"/>
  <c r="G70" i="19"/>
  <c r="E71" i="19"/>
  <c r="F71" i="19"/>
  <c r="G71" i="19"/>
  <c r="E72" i="19"/>
  <c r="F72" i="19"/>
  <c r="G72" i="19"/>
  <c r="E73" i="19"/>
  <c r="F73" i="19"/>
  <c r="G73" i="19"/>
  <c r="E74" i="19"/>
  <c r="F74" i="19"/>
  <c r="G74" i="19"/>
  <c r="E75" i="19"/>
  <c r="F75" i="19"/>
  <c r="G75" i="19"/>
  <c r="E76" i="19"/>
  <c r="F76" i="19"/>
  <c r="G76" i="19"/>
  <c r="E77" i="19"/>
  <c r="F77" i="19"/>
  <c r="G77" i="19"/>
  <c r="E78" i="19"/>
  <c r="F78" i="19"/>
  <c r="G78" i="19"/>
  <c r="E79" i="19"/>
  <c r="F79" i="19"/>
  <c r="G79" i="19"/>
  <c r="E80" i="19"/>
  <c r="F80" i="19"/>
  <c r="G80" i="19"/>
  <c r="E81" i="19"/>
  <c r="F81" i="19"/>
  <c r="G81" i="19"/>
  <c r="E82" i="19"/>
  <c r="F82" i="19"/>
  <c r="G82" i="19"/>
  <c r="E83" i="19"/>
  <c r="F83" i="19"/>
  <c r="G83" i="19"/>
  <c r="E84" i="19"/>
  <c r="F84" i="19"/>
  <c r="G84" i="19"/>
  <c r="E85" i="19"/>
  <c r="F85" i="19"/>
  <c r="G85" i="19"/>
  <c r="E86" i="19"/>
  <c r="F86" i="19"/>
  <c r="G86" i="19"/>
  <c r="E87" i="19"/>
  <c r="F87" i="19"/>
  <c r="G87" i="19"/>
  <c r="E88" i="19"/>
  <c r="F88" i="19"/>
  <c r="G88" i="19"/>
  <c r="E89" i="19"/>
  <c r="F89" i="19"/>
  <c r="G89" i="19"/>
  <c r="E90" i="19"/>
  <c r="F90" i="19"/>
  <c r="G90" i="19"/>
  <c r="E91" i="19"/>
  <c r="F91" i="19"/>
  <c r="G91" i="19"/>
  <c r="E92" i="19"/>
  <c r="F92" i="19"/>
  <c r="G92" i="19"/>
  <c r="E93" i="19"/>
  <c r="F93" i="19"/>
  <c r="G93" i="19"/>
  <c r="E94" i="19"/>
  <c r="F94" i="19"/>
  <c r="G94" i="19"/>
  <c r="E95" i="19"/>
  <c r="F95" i="19"/>
  <c r="G95" i="19"/>
  <c r="E96" i="19"/>
  <c r="F96" i="19"/>
  <c r="G96" i="19"/>
  <c r="E97" i="19"/>
  <c r="F97" i="19"/>
  <c r="G97" i="19"/>
  <c r="E98" i="19"/>
  <c r="F98" i="19"/>
  <c r="G98" i="19"/>
  <c r="E99" i="19"/>
  <c r="F99" i="19"/>
  <c r="G99" i="19"/>
  <c r="E100" i="19"/>
  <c r="F100" i="19"/>
  <c r="G100" i="19"/>
  <c r="E101" i="19"/>
  <c r="F101" i="19"/>
  <c r="G101" i="19"/>
  <c r="E102" i="19"/>
  <c r="F102" i="19"/>
  <c r="G102" i="19"/>
  <c r="E103" i="19"/>
  <c r="F103" i="19"/>
  <c r="G103" i="19"/>
  <c r="E104" i="19"/>
  <c r="F104" i="19"/>
  <c r="G104" i="19"/>
  <c r="E105" i="19"/>
  <c r="F105" i="19"/>
  <c r="G105" i="19"/>
  <c r="E106" i="19"/>
  <c r="F106" i="19"/>
  <c r="G106" i="19"/>
  <c r="E107" i="19"/>
  <c r="F107" i="19"/>
  <c r="G107" i="19"/>
  <c r="E108" i="19"/>
  <c r="F108" i="19"/>
  <c r="G108" i="19"/>
  <c r="E109" i="19"/>
  <c r="F109" i="19"/>
  <c r="G109" i="19"/>
  <c r="E110" i="19"/>
  <c r="F110" i="19"/>
  <c r="G110" i="19"/>
  <c r="E111" i="19"/>
  <c r="F111" i="19"/>
  <c r="G111" i="19"/>
  <c r="E112" i="19"/>
  <c r="F112" i="19"/>
  <c r="G112" i="19"/>
  <c r="E113" i="19"/>
  <c r="F113" i="19"/>
  <c r="G113" i="19"/>
  <c r="E114" i="19"/>
  <c r="F114" i="19"/>
  <c r="G114" i="19"/>
  <c r="E115" i="19"/>
  <c r="F115" i="19"/>
  <c r="G115" i="19"/>
  <c r="E116" i="19"/>
  <c r="F116" i="19"/>
  <c r="G116" i="19"/>
  <c r="E117" i="19"/>
  <c r="F117" i="19"/>
  <c r="G117" i="19"/>
  <c r="E118" i="19"/>
  <c r="F118" i="19"/>
  <c r="G118" i="19"/>
  <c r="E119" i="19"/>
  <c r="F119" i="19"/>
  <c r="G119" i="19"/>
  <c r="E120" i="19"/>
  <c r="F120" i="19"/>
  <c r="G120" i="19"/>
  <c r="E121" i="19"/>
  <c r="F121" i="19"/>
  <c r="G121" i="19"/>
  <c r="E122" i="19"/>
  <c r="F122" i="19"/>
  <c r="G122" i="19"/>
  <c r="E123" i="19"/>
  <c r="F123" i="19"/>
  <c r="G123" i="19"/>
  <c r="E124" i="19"/>
  <c r="F124" i="19"/>
  <c r="G124" i="19"/>
  <c r="E125" i="19"/>
  <c r="F125" i="19"/>
  <c r="G125" i="19"/>
  <c r="E126" i="19"/>
  <c r="F126" i="19"/>
  <c r="G126" i="19"/>
  <c r="E127" i="19"/>
  <c r="F127" i="19"/>
  <c r="G127" i="19"/>
  <c r="E128" i="19"/>
  <c r="F128" i="19"/>
  <c r="G128" i="19"/>
  <c r="E129" i="19"/>
  <c r="F129" i="19"/>
  <c r="G129" i="19"/>
  <c r="E130" i="19"/>
  <c r="F130" i="19"/>
  <c r="G130" i="19"/>
  <c r="E131" i="19"/>
  <c r="F131" i="19"/>
  <c r="G131" i="19"/>
  <c r="E132" i="19"/>
  <c r="F132" i="19"/>
  <c r="G132" i="19"/>
  <c r="E133" i="19"/>
  <c r="F133" i="19"/>
  <c r="G133" i="19"/>
  <c r="E134" i="19"/>
  <c r="F134" i="19"/>
  <c r="G134" i="19"/>
  <c r="E135" i="19"/>
  <c r="F135" i="19"/>
  <c r="G135" i="19"/>
  <c r="E136" i="19"/>
  <c r="F136" i="19"/>
  <c r="G136" i="19"/>
  <c r="E137" i="19"/>
  <c r="F137" i="19"/>
  <c r="G137" i="19"/>
  <c r="E138" i="19"/>
  <c r="F138" i="19"/>
  <c r="G138" i="19"/>
  <c r="E139" i="19"/>
  <c r="F139" i="19"/>
  <c r="G139" i="19"/>
  <c r="E140" i="19"/>
  <c r="F140" i="19"/>
  <c r="G140" i="19"/>
  <c r="E141" i="19"/>
  <c r="F141" i="19"/>
  <c r="G141" i="19"/>
  <c r="E142" i="19"/>
  <c r="F142" i="19"/>
  <c r="G142" i="19"/>
  <c r="E143" i="19"/>
  <c r="F143" i="19"/>
  <c r="G143" i="19"/>
  <c r="E144" i="19"/>
  <c r="F144" i="19"/>
  <c r="G144" i="19"/>
  <c r="E145" i="19"/>
  <c r="F145" i="19"/>
  <c r="G145" i="19"/>
  <c r="E146" i="19"/>
  <c r="F146" i="19"/>
  <c r="G146" i="19"/>
  <c r="E147" i="19"/>
  <c r="F147" i="19"/>
  <c r="G147" i="19"/>
  <c r="E148" i="19"/>
  <c r="F148" i="19"/>
  <c r="G148" i="19"/>
  <c r="E149" i="19"/>
  <c r="F149" i="19"/>
  <c r="G149" i="19"/>
  <c r="E150" i="19"/>
  <c r="F150" i="19"/>
  <c r="G150" i="19"/>
  <c r="E151" i="19"/>
  <c r="F151" i="19"/>
  <c r="G151" i="19"/>
  <c r="E152" i="19"/>
  <c r="F152" i="19"/>
  <c r="G152" i="19"/>
  <c r="E153" i="19"/>
  <c r="F153" i="19"/>
  <c r="G153" i="19"/>
  <c r="E154" i="19"/>
  <c r="F154" i="19"/>
  <c r="G154" i="19"/>
  <c r="E155" i="19"/>
  <c r="F155" i="19"/>
  <c r="G155" i="19"/>
  <c r="E156" i="19"/>
  <c r="F156" i="19"/>
  <c r="G156" i="19"/>
  <c r="E157" i="19"/>
  <c r="F157" i="19"/>
  <c r="G157" i="19"/>
  <c r="E158" i="19"/>
  <c r="F158" i="19"/>
  <c r="G158" i="19"/>
  <c r="E159" i="19"/>
  <c r="F159" i="19"/>
  <c r="G159" i="19"/>
  <c r="E160" i="19"/>
  <c r="F160" i="19"/>
  <c r="G160" i="19"/>
  <c r="E161" i="19"/>
  <c r="F161" i="19"/>
  <c r="G161" i="19"/>
  <c r="E162" i="19"/>
  <c r="F162" i="19"/>
  <c r="G162" i="19"/>
  <c r="E163" i="19"/>
  <c r="F163" i="19"/>
  <c r="G163" i="19"/>
  <c r="E164" i="19"/>
  <c r="F164" i="19"/>
  <c r="G164" i="19"/>
  <c r="E165" i="19"/>
  <c r="F165" i="19"/>
  <c r="G165" i="19"/>
  <c r="E166" i="19"/>
  <c r="F166" i="19"/>
  <c r="G166" i="19"/>
  <c r="E167" i="19"/>
  <c r="F167" i="19"/>
  <c r="G167" i="19"/>
  <c r="E168" i="19"/>
  <c r="F168" i="19"/>
  <c r="G168" i="19"/>
  <c r="E169" i="19"/>
  <c r="F169" i="19"/>
  <c r="G169" i="19"/>
  <c r="E170" i="19"/>
  <c r="F170" i="19"/>
  <c r="G170" i="19"/>
  <c r="E171" i="19"/>
  <c r="F171" i="19"/>
  <c r="G171" i="19"/>
  <c r="E172" i="19"/>
  <c r="F172" i="19"/>
  <c r="G172" i="19"/>
  <c r="E173" i="19"/>
  <c r="F173" i="19"/>
  <c r="G173" i="19"/>
  <c r="E174" i="19"/>
  <c r="F174" i="19"/>
  <c r="G174" i="19"/>
  <c r="E175" i="19"/>
  <c r="F175" i="19"/>
  <c r="G175" i="19"/>
  <c r="E176" i="19"/>
  <c r="F176" i="19"/>
  <c r="G176" i="19"/>
  <c r="E177" i="19"/>
  <c r="F177" i="19"/>
  <c r="G177" i="19"/>
  <c r="E178" i="19"/>
  <c r="F178" i="19"/>
  <c r="G178" i="19"/>
  <c r="E179" i="19"/>
  <c r="F179" i="19"/>
  <c r="G179" i="19"/>
  <c r="E180" i="19"/>
  <c r="F180" i="19"/>
  <c r="G180" i="19"/>
  <c r="E181" i="19"/>
  <c r="F181" i="19"/>
  <c r="G181" i="19"/>
  <c r="E182" i="19"/>
  <c r="F182" i="19"/>
  <c r="G182" i="19"/>
  <c r="E183" i="19"/>
  <c r="F183" i="19"/>
  <c r="G183" i="19"/>
  <c r="E184" i="19"/>
  <c r="F184" i="19"/>
  <c r="G184" i="19"/>
  <c r="E185" i="19"/>
  <c r="F185" i="19"/>
  <c r="G185" i="19"/>
  <c r="E186" i="19"/>
  <c r="F186" i="19"/>
  <c r="G186" i="19"/>
  <c r="E187" i="19"/>
  <c r="F187" i="19"/>
  <c r="G187" i="19"/>
  <c r="E188" i="19"/>
  <c r="F188" i="19"/>
  <c r="G188" i="19"/>
  <c r="E189" i="19"/>
  <c r="F189" i="19"/>
  <c r="G189" i="19"/>
  <c r="E190" i="19"/>
  <c r="F190" i="19"/>
  <c r="G190" i="19"/>
  <c r="E191" i="19"/>
  <c r="F191" i="19"/>
  <c r="G191" i="19"/>
  <c r="E192" i="19"/>
  <c r="F192" i="19"/>
  <c r="G192" i="19"/>
  <c r="E193" i="19"/>
  <c r="F193" i="19"/>
  <c r="G193" i="19"/>
  <c r="E194" i="19"/>
  <c r="F194" i="19"/>
  <c r="G194" i="19"/>
  <c r="E195" i="19"/>
  <c r="F195" i="19"/>
  <c r="G195" i="19"/>
  <c r="E196" i="19"/>
  <c r="F196" i="19"/>
  <c r="G196" i="19"/>
  <c r="E197" i="19"/>
  <c r="F197" i="19"/>
  <c r="G197" i="19"/>
  <c r="E198" i="19"/>
  <c r="F198" i="19"/>
  <c r="G198" i="19"/>
  <c r="E199" i="19"/>
  <c r="F199" i="19"/>
  <c r="G199" i="19"/>
  <c r="E200" i="19"/>
  <c r="F200" i="19"/>
  <c r="G200" i="19"/>
  <c r="E201" i="19"/>
  <c r="F201" i="19"/>
  <c r="G201" i="19"/>
  <c r="E202" i="19"/>
  <c r="F202" i="19"/>
  <c r="G202" i="19"/>
  <c r="E203" i="19"/>
  <c r="F203" i="19"/>
  <c r="G203" i="19"/>
  <c r="E204" i="19"/>
  <c r="F204" i="19"/>
  <c r="G204" i="19"/>
  <c r="E205" i="19"/>
  <c r="F205" i="19"/>
  <c r="G205" i="19"/>
  <c r="E206" i="19"/>
  <c r="F206" i="19"/>
  <c r="G206" i="19"/>
  <c r="E207" i="19"/>
  <c r="F207" i="19"/>
  <c r="G207" i="19"/>
  <c r="E208" i="19"/>
  <c r="F208" i="19"/>
  <c r="G208" i="19"/>
  <c r="E209" i="19"/>
  <c r="F209" i="19"/>
  <c r="G209" i="19"/>
  <c r="E210" i="19"/>
  <c r="F210" i="19"/>
  <c r="G210" i="19"/>
  <c r="E211" i="19"/>
  <c r="F211" i="19"/>
  <c r="G211" i="19"/>
  <c r="E212" i="19"/>
  <c r="F212" i="19"/>
  <c r="G212" i="19"/>
  <c r="E213" i="19"/>
  <c r="F213" i="19"/>
  <c r="G213" i="19"/>
  <c r="E214" i="19"/>
  <c r="F214" i="19"/>
  <c r="G214" i="19"/>
  <c r="E215" i="19"/>
  <c r="F215" i="19"/>
  <c r="G215" i="19"/>
  <c r="E216" i="19"/>
  <c r="F216" i="19"/>
  <c r="G216" i="19"/>
  <c r="E217" i="19"/>
  <c r="F217" i="19"/>
  <c r="G217" i="19"/>
  <c r="E218" i="19"/>
  <c r="F218" i="19"/>
  <c r="G218" i="19"/>
  <c r="E219" i="19"/>
  <c r="F219" i="19"/>
  <c r="G219" i="19"/>
  <c r="E220" i="19"/>
  <c r="F220" i="19"/>
  <c r="G220" i="19"/>
  <c r="E221" i="19"/>
  <c r="F221" i="19"/>
  <c r="G221" i="19"/>
  <c r="E222" i="19"/>
  <c r="F222" i="19"/>
  <c r="G222" i="19"/>
  <c r="E223" i="19"/>
  <c r="F223" i="19"/>
  <c r="G223" i="19"/>
  <c r="E224" i="19"/>
  <c r="F224" i="19"/>
  <c r="G224" i="19"/>
  <c r="E225" i="19"/>
  <c r="F225" i="19"/>
  <c r="G225" i="19"/>
  <c r="E226" i="19"/>
  <c r="F226" i="19"/>
  <c r="G226" i="19"/>
  <c r="E227" i="19"/>
  <c r="F227" i="19"/>
  <c r="G227" i="19"/>
  <c r="E228" i="19"/>
  <c r="F228" i="19"/>
  <c r="G228" i="19"/>
  <c r="E229" i="19"/>
  <c r="F229" i="19"/>
  <c r="G229" i="19"/>
  <c r="E230" i="19"/>
  <c r="F230" i="19"/>
  <c r="G230" i="19"/>
  <c r="E231" i="19"/>
  <c r="F231" i="19"/>
  <c r="G231" i="19"/>
  <c r="E232" i="19"/>
  <c r="F232" i="19"/>
  <c r="G232" i="19"/>
  <c r="E233" i="19"/>
  <c r="F233" i="19"/>
  <c r="G233" i="19"/>
  <c r="E234" i="19"/>
  <c r="F234" i="19"/>
  <c r="G234" i="19"/>
  <c r="E235" i="19"/>
  <c r="F235" i="19"/>
  <c r="G235" i="19"/>
  <c r="E236" i="19"/>
  <c r="F236" i="19"/>
  <c r="G236" i="19"/>
  <c r="E237" i="19"/>
  <c r="F237" i="19"/>
  <c r="G237" i="19"/>
  <c r="E238" i="19"/>
  <c r="F238" i="19"/>
  <c r="G238" i="19"/>
  <c r="E239" i="19"/>
  <c r="F239" i="19"/>
  <c r="G239" i="19"/>
  <c r="E240" i="19"/>
  <c r="F240" i="19"/>
  <c r="G240" i="19"/>
  <c r="E241" i="19"/>
  <c r="F241" i="19"/>
  <c r="G241" i="19"/>
  <c r="E242" i="19"/>
  <c r="F242" i="19"/>
  <c r="G242" i="19"/>
  <c r="E243" i="19"/>
  <c r="F243" i="19"/>
  <c r="G243" i="19"/>
  <c r="E244" i="19"/>
  <c r="F244" i="19"/>
  <c r="G244" i="19"/>
  <c r="E245" i="19"/>
  <c r="F245" i="19"/>
  <c r="G245" i="19"/>
  <c r="E246" i="19"/>
  <c r="F246" i="19"/>
  <c r="G246" i="19"/>
  <c r="E247" i="19"/>
  <c r="F247" i="19"/>
  <c r="G247" i="19"/>
  <c r="E248" i="19"/>
  <c r="F248" i="19"/>
  <c r="G248" i="19"/>
  <c r="E249" i="19"/>
  <c r="F249" i="19"/>
  <c r="G249" i="19"/>
  <c r="E250" i="19"/>
  <c r="F250" i="19"/>
  <c r="G250" i="19"/>
  <c r="E251" i="19"/>
  <c r="F251" i="19"/>
  <c r="G251" i="19"/>
  <c r="E252" i="19"/>
  <c r="F252" i="19"/>
  <c r="G252" i="19"/>
  <c r="E253" i="19"/>
  <c r="F253" i="19"/>
  <c r="G253" i="19"/>
  <c r="E254" i="19"/>
  <c r="F254" i="19"/>
  <c r="G254" i="19"/>
  <c r="E255" i="19"/>
  <c r="F255" i="19"/>
  <c r="G255" i="19"/>
  <c r="E256" i="19"/>
  <c r="F256" i="19"/>
  <c r="G256" i="19"/>
  <c r="E257" i="19"/>
  <c r="F257" i="19"/>
  <c r="G257" i="19"/>
  <c r="E258" i="19"/>
  <c r="F258" i="19"/>
  <c r="G258" i="19"/>
  <c r="E259" i="19"/>
  <c r="F259" i="19"/>
  <c r="G259" i="19"/>
  <c r="E260" i="19"/>
  <c r="F260" i="19"/>
  <c r="G260" i="19"/>
  <c r="E261" i="19"/>
  <c r="F261" i="19"/>
  <c r="G261" i="19"/>
  <c r="E262" i="19"/>
  <c r="F262" i="19"/>
  <c r="G262" i="19"/>
  <c r="E263" i="19"/>
  <c r="F263" i="19"/>
  <c r="G263" i="19"/>
  <c r="E264" i="19"/>
  <c r="F264" i="19"/>
  <c r="G264" i="19"/>
  <c r="E265" i="19"/>
  <c r="F265" i="19"/>
  <c r="G265" i="19"/>
  <c r="E266" i="19"/>
  <c r="F266" i="19"/>
  <c r="G266" i="19"/>
  <c r="E267" i="19"/>
  <c r="F267" i="19"/>
  <c r="G267" i="19"/>
  <c r="E268" i="19"/>
  <c r="F268" i="19"/>
  <c r="G268" i="19"/>
  <c r="E269" i="19"/>
  <c r="F269" i="19"/>
  <c r="G269" i="19"/>
  <c r="E270" i="19"/>
  <c r="F270" i="19"/>
  <c r="G270" i="19"/>
  <c r="E271" i="19"/>
  <c r="F271" i="19"/>
  <c r="G271" i="19"/>
  <c r="E272" i="19"/>
  <c r="F272" i="19"/>
  <c r="G272" i="19"/>
  <c r="E273" i="19"/>
  <c r="F273" i="19"/>
  <c r="G273" i="19"/>
  <c r="E274" i="19"/>
  <c r="F274" i="19"/>
  <c r="G274" i="19"/>
  <c r="E275" i="19"/>
  <c r="F275" i="19"/>
  <c r="G275" i="19"/>
  <c r="E276" i="19"/>
  <c r="F276" i="19"/>
  <c r="G276" i="19"/>
  <c r="E277" i="19"/>
  <c r="F277" i="19"/>
  <c r="G277" i="19"/>
  <c r="E278" i="19"/>
  <c r="F278" i="19"/>
  <c r="G278" i="19"/>
  <c r="E279" i="19"/>
  <c r="F279" i="19"/>
  <c r="G279" i="19"/>
  <c r="E280" i="19"/>
  <c r="F280" i="19"/>
  <c r="G280" i="19"/>
  <c r="E281" i="19"/>
  <c r="F281" i="19"/>
  <c r="G281" i="19"/>
  <c r="E282" i="19"/>
  <c r="F282" i="19"/>
  <c r="G282" i="19"/>
  <c r="E283" i="19"/>
  <c r="F283" i="19"/>
  <c r="G283" i="19"/>
  <c r="E284" i="19"/>
  <c r="F284" i="19"/>
  <c r="G284" i="19"/>
  <c r="E285" i="19"/>
  <c r="F285" i="19"/>
  <c r="G285" i="19"/>
  <c r="E286" i="19"/>
  <c r="F286" i="19"/>
  <c r="G286" i="19"/>
  <c r="E287" i="19"/>
  <c r="F287" i="19"/>
  <c r="G287" i="19"/>
  <c r="E288" i="19"/>
  <c r="F288" i="19"/>
  <c r="G288" i="19"/>
  <c r="E289" i="19"/>
  <c r="F289" i="19"/>
  <c r="G289" i="19"/>
  <c r="E290" i="19"/>
  <c r="F290" i="19"/>
  <c r="G290" i="19"/>
  <c r="E291" i="19"/>
  <c r="F291" i="19"/>
  <c r="G291" i="19"/>
  <c r="E292" i="19"/>
  <c r="F292" i="19"/>
  <c r="G292" i="19"/>
  <c r="E293" i="19"/>
  <c r="F293" i="19"/>
  <c r="G293" i="19"/>
  <c r="E294" i="19"/>
  <c r="F294" i="19"/>
  <c r="G294" i="19"/>
  <c r="E295" i="19"/>
  <c r="F295" i="19"/>
  <c r="G295" i="19"/>
  <c r="E296" i="19"/>
  <c r="F296" i="19"/>
  <c r="G296" i="19"/>
  <c r="E297" i="19"/>
  <c r="F297" i="19"/>
  <c r="G297" i="19"/>
  <c r="E298" i="19"/>
  <c r="F298" i="19"/>
  <c r="G298" i="19"/>
  <c r="E299" i="19"/>
  <c r="F299" i="19"/>
  <c r="G299" i="19"/>
  <c r="E300" i="19"/>
  <c r="F300" i="19"/>
  <c r="G300" i="19"/>
  <c r="E301" i="19"/>
  <c r="F301" i="19"/>
  <c r="G301" i="19"/>
  <c r="E302" i="19"/>
  <c r="F302" i="19"/>
  <c r="G302" i="19"/>
  <c r="E303" i="19"/>
  <c r="F303" i="19"/>
  <c r="G303" i="19"/>
  <c r="E304" i="19"/>
  <c r="F304" i="19"/>
  <c r="G304" i="19"/>
  <c r="E305" i="19"/>
  <c r="F305" i="19"/>
  <c r="G305" i="19"/>
  <c r="E306" i="19"/>
  <c r="F306" i="19"/>
  <c r="G306" i="19"/>
  <c r="E307" i="19"/>
  <c r="F307" i="19"/>
  <c r="G307" i="19"/>
  <c r="E308" i="19"/>
  <c r="F308" i="19"/>
  <c r="G308" i="19"/>
  <c r="E309" i="19"/>
  <c r="F309" i="19"/>
  <c r="G309" i="19"/>
  <c r="E310" i="19"/>
  <c r="F310" i="19"/>
  <c r="G310" i="19"/>
  <c r="E311" i="19"/>
  <c r="F311" i="19"/>
  <c r="G311" i="19"/>
  <c r="E312" i="19"/>
  <c r="F312" i="19"/>
  <c r="G312" i="19"/>
  <c r="E313" i="19"/>
  <c r="F313" i="19"/>
  <c r="G313" i="19"/>
  <c r="E314" i="19"/>
  <c r="F314" i="19"/>
  <c r="G314" i="19"/>
  <c r="E315" i="19"/>
  <c r="F315" i="19"/>
  <c r="G315" i="19"/>
  <c r="E316" i="19"/>
  <c r="F316" i="19"/>
  <c r="G316" i="19"/>
  <c r="E317" i="19"/>
  <c r="F317" i="19"/>
  <c r="G317" i="19"/>
  <c r="E318" i="19"/>
  <c r="F318" i="19"/>
  <c r="G318" i="19"/>
  <c r="E319" i="19"/>
  <c r="F319" i="19"/>
  <c r="G319" i="19"/>
  <c r="E320" i="19"/>
  <c r="F320" i="19"/>
  <c r="G320" i="19"/>
  <c r="E321" i="19"/>
  <c r="F321" i="19"/>
  <c r="G321" i="19"/>
  <c r="E322" i="19"/>
  <c r="F322" i="19"/>
  <c r="G322" i="19"/>
  <c r="E323" i="19"/>
  <c r="F323" i="19"/>
  <c r="G323" i="19"/>
  <c r="E324" i="19"/>
  <c r="F324" i="19"/>
  <c r="G324" i="19"/>
  <c r="E325" i="19"/>
  <c r="F325" i="19"/>
  <c r="G325" i="19"/>
  <c r="E326" i="19"/>
  <c r="F326" i="19"/>
  <c r="G326" i="19"/>
  <c r="E327" i="19"/>
  <c r="F327" i="19"/>
  <c r="G327" i="19"/>
  <c r="E328" i="19"/>
  <c r="F328" i="19"/>
  <c r="G328" i="19"/>
  <c r="E329" i="19"/>
  <c r="F329" i="19"/>
  <c r="G329" i="19"/>
  <c r="E330" i="19"/>
  <c r="F330" i="19"/>
  <c r="G330" i="19"/>
  <c r="E331" i="19"/>
  <c r="F331" i="19"/>
  <c r="G331" i="19"/>
  <c r="E332" i="19"/>
  <c r="F332" i="19"/>
  <c r="G332" i="19"/>
  <c r="E333" i="19"/>
  <c r="F333" i="19"/>
  <c r="G333" i="19"/>
  <c r="E334" i="19"/>
  <c r="F334" i="19"/>
  <c r="G334" i="19"/>
  <c r="E335" i="19"/>
  <c r="F335" i="19"/>
  <c r="G335" i="19"/>
  <c r="E336" i="19"/>
  <c r="F336" i="19"/>
  <c r="G336" i="19"/>
  <c r="E337" i="19"/>
  <c r="F337" i="19"/>
  <c r="G337" i="19"/>
  <c r="E338" i="19"/>
  <c r="F338" i="19"/>
  <c r="G338" i="19"/>
  <c r="E339" i="19"/>
  <c r="F339" i="19"/>
  <c r="G339" i="19"/>
  <c r="E340" i="19"/>
  <c r="F340" i="19"/>
  <c r="G340" i="19"/>
  <c r="E341" i="19"/>
  <c r="F341" i="19"/>
  <c r="G341" i="19"/>
  <c r="E342" i="19"/>
  <c r="F342" i="19"/>
  <c r="G342" i="19"/>
  <c r="E343" i="19"/>
  <c r="F343" i="19"/>
  <c r="G343" i="19"/>
  <c r="E344" i="19"/>
  <c r="F344" i="19"/>
  <c r="G344" i="19"/>
  <c r="E345" i="19"/>
  <c r="F345" i="19"/>
  <c r="G345" i="19"/>
  <c r="E346" i="19"/>
  <c r="F346" i="19"/>
  <c r="G346" i="19"/>
  <c r="E347" i="19"/>
  <c r="F347" i="19"/>
  <c r="G347" i="19"/>
  <c r="E348" i="19"/>
  <c r="F348" i="19"/>
  <c r="G348" i="19"/>
  <c r="E349" i="19"/>
  <c r="F349" i="19"/>
  <c r="G349" i="19"/>
  <c r="E350" i="19"/>
  <c r="F350" i="19"/>
  <c r="G350" i="19"/>
  <c r="E351" i="19"/>
  <c r="F351" i="19"/>
  <c r="G351" i="19"/>
  <c r="E352" i="19"/>
  <c r="F352" i="19"/>
  <c r="G352" i="19"/>
  <c r="E353" i="19"/>
  <c r="F353" i="19"/>
  <c r="G353" i="19"/>
  <c r="E354" i="19"/>
  <c r="F354" i="19"/>
  <c r="G354" i="19"/>
  <c r="E355" i="19"/>
  <c r="F355" i="19"/>
  <c r="G355" i="19"/>
  <c r="E356" i="19"/>
  <c r="F356" i="19"/>
  <c r="G356" i="19"/>
  <c r="E357" i="19"/>
  <c r="F357" i="19"/>
  <c r="G357" i="19"/>
  <c r="E358" i="19"/>
  <c r="F358" i="19"/>
  <c r="G358" i="19"/>
  <c r="E359" i="19"/>
  <c r="F359" i="19"/>
  <c r="G359" i="19"/>
  <c r="E360" i="19"/>
  <c r="F360" i="19"/>
  <c r="G360" i="19"/>
  <c r="E361" i="19"/>
  <c r="F361" i="19"/>
  <c r="G361" i="19"/>
  <c r="E362" i="19"/>
  <c r="F362" i="19"/>
  <c r="G362" i="19"/>
  <c r="E363" i="19"/>
  <c r="F363" i="19"/>
  <c r="G363" i="19"/>
  <c r="E364" i="19"/>
  <c r="F364" i="19"/>
  <c r="G364" i="19"/>
  <c r="E365" i="19"/>
  <c r="F365" i="19"/>
  <c r="G365" i="19"/>
  <c r="E366" i="19"/>
  <c r="F366" i="19"/>
  <c r="G366" i="19"/>
  <c r="E367" i="19"/>
  <c r="F367" i="19"/>
  <c r="G367" i="19"/>
  <c r="E368" i="19"/>
  <c r="F368" i="19"/>
  <c r="G368" i="19"/>
  <c r="E369" i="19"/>
  <c r="F369" i="19"/>
  <c r="G369" i="19"/>
  <c r="E370" i="19"/>
  <c r="F370" i="19"/>
  <c r="G370" i="19"/>
  <c r="E371" i="19"/>
  <c r="F371" i="19"/>
  <c r="G371" i="19"/>
  <c r="E372" i="19"/>
  <c r="F372" i="19"/>
  <c r="G372" i="19"/>
  <c r="E373" i="19"/>
  <c r="F373" i="19"/>
  <c r="G373" i="19"/>
  <c r="E374" i="19"/>
  <c r="F374" i="19"/>
  <c r="G374" i="19"/>
  <c r="E375" i="19"/>
  <c r="F375" i="19"/>
  <c r="G375" i="19"/>
  <c r="E376" i="19"/>
  <c r="F376" i="19"/>
  <c r="G376" i="19"/>
  <c r="E377" i="19"/>
  <c r="F377" i="19"/>
  <c r="G377" i="19"/>
  <c r="E378" i="19"/>
  <c r="F378" i="19"/>
  <c r="G378" i="19"/>
  <c r="E379" i="19"/>
  <c r="F379" i="19"/>
  <c r="G379" i="19"/>
  <c r="E380" i="19"/>
  <c r="F380" i="19"/>
  <c r="G380" i="19"/>
  <c r="E381" i="19"/>
  <c r="F381" i="19"/>
  <c r="G381" i="19"/>
  <c r="E382" i="19"/>
  <c r="F382" i="19"/>
  <c r="G382" i="19"/>
  <c r="E383" i="19"/>
  <c r="F383" i="19"/>
  <c r="G383" i="19"/>
  <c r="E384" i="19"/>
  <c r="F384" i="19"/>
  <c r="G384" i="19"/>
  <c r="E385" i="19"/>
  <c r="F385" i="19"/>
  <c r="G385" i="19"/>
  <c r="E386" i="19"/>
  <c r="F386" i="19"/>
  <c r="G386" i="19"/>
  <c r="E387" i="19"/>
  <c r="F387" i="19"/>
  <c r="G387" i="19"/>
  <c r="E388" i="19"/>
  <c r="F388" i="19"/>
  <c r="G388" i="19"/>
  <c r="E389" i="19"/>
  <c r="F389" i="19"/>
  <c r="G389" i="19"/>
  <c r="E390" i="19"/>
  <c r="F390" i="19"/>
  <c r="G390" i="19"/>
  <c r="E391" i="19"/>
  <c r="F391" i="19"/>
  <c r="G391" i="19"/>
  <c r="E392" i="19"/>
  <c r="F392" i="19"/>
  <c r="G392" i="19"/>
  <c r="E393" i="19"/>
  <c r="F393" i="19"/>
  <c r="G393" i="19"/>
  <c r="E394" i="19"/>
  <c r="F394" i="19"/>
  <c r="G394" i="19"/>
  <c r="E395" i="19"/>
  <c r="F395" i="19"/>
  <c r="G395" i="19"/>
  <c r="E396" i="19"/>
  <c r="F396" i="19"/>
  <c r="G396" i="19"/>
  <c r="E397" i="19"/>
  <c r="F397" i="19"/>
  <c r="G397" i="19"/>
  <c r="E398" i="19"/>
  <c r="F398" i="19"/>
  <c r="G398" i="19"/>
  <c r="E399" i="19"/>
  <c r="F399" i="19"/>
  <c r="G399" i="19"/>
  <c r="E400" i="19"/>
  <c r="F400" i="19"/>
  <c r="G400" i="19"/>
  <c r="E401" i="19"/>
  <c r="F401" i="19"/>
  <c r="G401" i="19"/>
  <c r="E402" i="19"/>
  <c r="F402" i="19"/>
  <c r="G402" i="19"/>
  <c r="E403" i="19"/>
  <c r="F403" i="19"/>
  <c r="G403" i="19"/>
  <c r="E404" i="19"/>
  <c r="F404" i="19"/>
  <c r="G404" i="19"/>
  <c r="E405" i="19"/>
  <c r="F405" i="19"/>
  <c r="G405" i="19"/>
  <c r="E406" i="19"/>
  <c r="F406" i="19"/>
  <c r="G406" i="19"/>
  <c r="E407" i="19"/>
  <c r="F407" i="19"/>
  <c r="G407" i="19"/>
  <c r="E408" i="19"/>
  <c r="F408" i="19"/>
  <c r="G408" i="19"/>
  <c r="E409" i="19"/>
  <c r="F409" i="19"/>
  <c r="G409" i="19"/>
  <c r="E410" i="19"/>
  <c r="F410" i="19"/>
  <c r="G410" i="19"/>
  <c r="E411" i="19"/>
  <c r="F411" i="19"/>
  <c r="G411" i="19"/>
  <c r="E412" i="19"/>
  <c r="F412" i="19"/>
  <c r="G412" i="19"/>
  <c r="E413" i="19"/>
  <c r="F413" i="19"/>
  <c r="G413" i="19"/>
  <c r="E414" i="19"/>
  <c r="F414" i="19"/>
  <c r="G414" i="19"/>
  <c r="E415" i="19"/>
  <c r="F415" i="19"/>
  <c r="G415" i="19"/>
  <c r="E416" i="19"/>
  <c r="F416" i="19"/>
  <c r="G416" i="19"/>
  <c r="E417" i="19"/>
  <c r="F417" i="19"/>
  <c r="G417" i="19"/>
  <c r="E418" i="19"/>
  <c r="F418" i="19"/>
  <c r="G418" i="19"/>
  <c r="E419" i="19"/>
  <c r="F419" i="19"/>
  <c r="G419" i="19"/>
  <c r="E420" i="19"/>
  <c r="F420" i="19"/>
  <c r="G420" i="19"/>
  <c r="E421" i="19"/>
  <c r="F421" i="19"/>
  <c r="G421" i="19"/>
  <c r="E422" i="19"/>
  <c r="F422" i="19"/>
  <c r="G422" i="19"/>
  <c r="E423" i="19"/>
  <c r="F423" i="19"/>
  <c r="G423" i="19"/>
  <c r="E424" i="19"/>
  <c r="F424" i="19"/>
  <c r="G424" i="19"/>
  <c r="E425" i="19"/>
  <c r="F425" i="19"/>
  <c r="G425" i="19"/>
  <c r="E426" i="19"/>
  <c r="F426" i="19"/>
  <c r="G426" i="19"/>
  <c r="E427" i="19"/>
  <c r="F427" i="19"/>
  <c r="G427" i="19"/>
  <c r="E428" i="19"/>
  <c r="F428" i="19"/>
  <c r="G428" i="19"/>
  <c r="E429" i="19"/>
  <c r="F429" i="19"/>
  <c r="G429" i="19"/>
  <c r="E430" i="19"/>
  <c r="F430" i="19"/>
  <c r="G430" i="19"/>
  <c r="E431" i="19"/>
  <c r="F431" i="19"/>
  <c r="G431" i="19"/>
  <c r="E432" i="19"/>
  <c r="F432" i="19"/>
  <c r="G432" i="19"/>
  <c r="E433" i="19"/>
  <c r="F433" i="19"/>
  <c r="G433" i="19"/>
  <c r="E434" i="19"/>
  <c r="F434" i="19"/>
  <c r="G434" i="19"/>
  <c r="E435" i="19"/>
  <c r="F435" i="19"/>
  <c r="G435" i="19"/>
  <c r="E436" i="19"/>
  <c r="F436" i="19"/>
  <c r="G436" i="19"/>
  <c r="E437" i="19"/>
  <c r="F437" i="19"/>
  <c r="G437" i="19"/>
  <c r="E438" i="19"/>
  <c r="F438" i="19"/>
  <c r="G438" i="19"/>
  <c r="E439" i="19"/>
  <c r="F439" i="19"/>
  <c r="G439" i="19"/>
  <c r="E440" i="19"/>
  <c r="F440" i="19"/>
  <c r="G440" i="19"/>
  <c r="E441" i="19"/>
  <c r="F441" i="19"/>
  <c r="G441" i="19"/>
  <c r="E442" i="19"/>
  <c r="F442" i="19"/>
  <c r="G442" i="19"/>
  <c r="E443" i="19"/>
  <c r="F443" i="19"/>
  <c r="G443" i="19"/>
  <c r="E444" i="19"/>
  <c r="F444" i="19"/>
  <c r="G444" i="19"/>
  <c r="E445" i="19"/>
  <c r="F445" i="19"/>
  <c r="G445" i="19"/>
  <c r="E446" i="19"/>
  <c r="F446" i="19"/>
  <c r="G446" i="19"/>
  <c r="E447" i="19"/>
  <c r="F447" i="19"/>
  <c r="G447" i="19"/>
  <c r="E448" i="19"/>
  <c r="F448" i="19"/>
  <c r="G448" i="19"/>
  <c r="E449" i="19"/>
  <c r="F449" i="19"/>
  <c r="G449" i="19"/>
  <c r="E450" i="19"/>
  <c r="F450" i="19"/>
  <c r="G450" i="19"/>
  <c r="E451" i="19"/>
  <c r="F451" i="19"/>
  <c r="G451" i="19"/>
  <c r="E452" i="19"/>
  <c r="F452" i="19"/>
  <c r="G452" i="19"/>
  <c r="E453" i="19"/>
  <c r="F453" i="19"/>
  <c r="G453" i="19"/>
  <c r="E454" i="19"/>
  <c r="F454" i="19"/>
  <c r="G454" i="19"/>
  <c r="E455" i="19"/>
  <c r="F455" i="19"/>
  <c r="G455" i="19"/>
  <c r="E456" i="19"/>
  <c r="F456" i="19"/>
  <c r="G456" i="19"/>
  <c r="E457" i="19"/>
  <c r="F457" i="19"/>
  <c r="G457" i="19"/>
  <c r="E458" i="19"/>
  <c r="F458" i="19"/>
  <c r="G458" i="19"/>
  <c r="E459" i="19"/>
  <c r="F459" i="19"/>
  <c r="G459" i="19"/>
  <c r="E460" i="19"/>
  <c r="F460" i="19"/>
  <c r="G460" i="19"/>
  <c r="E461" i="19"/>
  <c r="F461" i="19"/>
  <c r="G461" i="19"/>
  <c r="E462" i="19"/>
  <c r="F462" i="19"/>
  <c r="G462" i="19"/>
  <c r="E463" i="19"/>
  <c r="F463" i="19"/>
  <c r="G463" i="19"/>
  <c r="E464" i="19"/>
  <c r="F464" i="19"/>
  <c r="G464" i="19"/>
  <c r="E465" i="19"/>
  <c r="F465" i="19"/>
  <c r="G465" i="19"/>
  <c r="E466" i="19"/>
  <c r="F466" i="19"/>
  <c r="G466" i="19"/>
  <c r="E467" i="19"/>
  <c r="F467" i="19"/>
  <c r="G467" i="19"/>
  <c r="E468" i="19"/>
  <c r="F468" i="19"/>
  <c r="G468" i="19"/>
  <c r="E469" i="19"/>
  <c r="F469" i="19"/>
  <c r="G469" i="19"/>
  <c r="E470" i="19"/>
  <c r="F470" i="19"/>
  <c r="G470" i="19"/>
  <c r="E471" i="19"/>
  <c r="F471" i="19"/>
  <c r="G471" i="19"/>
  <c r="E472" i="19"/>
  <c r="F472" i="19"/>
  <c r="G472" i="19"/>
  <c r="E473" i="19"/>
  <c r="F473" i="19"/>
  <c r="G473" i="19"/>
  <c r="E474" i="19"/>
  <c r="F474" i="19"/>
  <c r="G474" i="19"/>
  <c r="E475" i="19"/>
  <c r="F475" i="19"/>
  <c r="G475" i="19"/>
  <c r="E476" i="19"/>
  <c r="F476" i="19"/>
  <c r="G476" i="19"/>
  <c r="E477" i="19"/>
  <c r="F477" i="19"/>
  <c r="G477" i="19"/>
  <c r="E478" i="19"/>
  <c r="F478" i="19"/>
  <c r="G478" i="19"/>
  <c r="E479" i="19"/>
  <c r="F479" i="19"/>
  <c r="G479" i="19"/>
  <c r="E480" i="19"/>
  <c r="F480" i="19"/>
  <c r="G480" i="19"/>
  <c r="E481" i="19"/>
  <c r="F481" i="19"/>
  <c r="G481" i="19"/>
  <c r="E482" i="19"/>
  <c r="F482" i="19"/>
  <c r="G482" i="19"/>
  <c r="E483" i="19"/>
  <c r="F483" i="19"/>
  <c r="G483" i="19"/>
  <c r="E484" i="19"/>
  <c r="F484" i="19"/>
  <c r="G484" i="19"/>
  <c r="E485" i="19"/>
  <c r="F485" i="19"/>
  <c r="G485" i="19"/>
  <c r="E486" i="19"/>
  <c r="F486" i="19"/>
  <c r="G486" i="19"/>
  <c r="E487" i="19"/>
  <c r="F487" i="19"/>
  <c r="G487" i="19"/>
  <c r="E488" i="19"/>
  <c r="F488" i="19"/>
  <c r="G488" i="19"/>
  <c r="E489" i="19"/>
  <c r="F489" i="19"/>
  <c r="G489" i="19"/>
  <c r="E490" i="19"/>
  <c r="F490" i="19"/>
  <c r="G490" i="19"/>
  <c r="E491" i="19"/>
  <c r="F491" i="19"/>
  <c r="G491" i="19"/>
  <c r="E492" i="19"/>
  <c r="F492" i="19"/>
  <c r="G492" i="19"/>
  <c r="E493" i="19"/>
  <c r="F493" i="19"/>
  <c r="G493" i="19"/>
  <c r="E494" i="19"/>
  <c r="F494" i="19"/>
  <c r="G494" i="19"/>
  <c r="E495" i="19"/>
  <c r="F495" i="19"/>
  <c r="G495" i="19"/>
  <c r="E496" i="19"/>
  <c r="F496" i="19"/>
  <c r="G496" i="19"/>
  <c r="E497" i="19"/>
  <c r="F497" i="19"/>
  <c r="G497" i="19"/>
  <c r="E498" i="19"/>
  <c r="F498" i="19"/>
  <c r="G498" i="19"/>
  <c r="E499" i="19"/>
  <c r="F499" i="19"/>
  <c r="G499" i="19"/>
  <c r="E500" i="19"/>
  <c r="F500" i="19"/>
  <c r="G500" i="19"/>
  <c r="E501" i="19"/>
  <c r="F501" i="19"/>
  <c r="G501" i="19"/>
  <c r="E502" i="19"/>
  <c r="F502" i="19"/>
  <c r="G502" i="19"/>
  <c r="E503" i="19"/>
  <c r="F503" i="19"/>
  <c r="G503" i="19"/>
  <c r="E504" i="19"/>
  <c r="F504" i="19"/>
  <c r="G504" i="19"/>
  <c r="E505" i="19"/>
  <c r="F505" i="19"/>
  <c r="G505" i="19"/>
  <c r="E506" i="19"/>
  <c r="F506" i="19"/>
  <c r="G506" i="19"/>
  <c r="E507" i="19"/>
  <c r="F507" i="19"/>
  <c r="G507" i="19"/>
  <c r="E508" i="19"/>
  <c r="F508" i="19"/>
  <c r="G508" i="19"/>
  <c r="E509" i="19"/>
  <c r="F509" i="19"/>
  <c r="G509" i="19"/>
  <c r="E510" i="19"/>
  <c r="F510" i="19"/>
  <c r="G510" i="19"/>
  <c r="E511" i="19"/>
  <c r="F511" i="19"/>
  <c r="G511" i="19"/>
  <c r="E512" i="19"/>
  <c r="F512" i="19"/>
  <c r="G512" i="19"/>
  <c r="E513" i="19"/>
  <c r="F513" i="19"/>
  <c r="G513" i="19"/>
  <c r="E514" i="19"/>
  <c r="F514" i="19"/>
  <c r="G514" i="19"/>
  <c r="E515" i="19"/>
  <c r="F515" i="19"/>
  <c r="G515" i="19"/>
  <c r="E516" i="19"/>
  <c r="F516" i="19"/>
  <c r="G516" i="19"/>
  <c r="E517" i="19"/>
  <c r="F517" i="19"/>
  <c r="G517" i="19"/>
  <c r="E518" i="19"/>
  <c r="F518" i="19"/>
  <c r="G518" i="19"/>
  <c r="E519" i="19"/>
  <c r="F519" i="19"/>
  <c r="G519" i="19"/>
  <c r="E520" i="19"/>
  <c r="F520" i="19"/>
  <c r="G520" i="19"/>
  <c r="E521" i="19"/>
  <c r="F521" i="19"/>
  <c r="G521" i="19"/>
  <c r="E522" i="19"/>
  <c r="F522" i="19"/>
  <c r="G522" i="19"/>
  <c r="E523" i="19"/>
  <c r="F523" i="19"/>
  <c r="G523" i="19"/>
  <c r="E524" i="19"/>
  <c r="F524" i="19"/>
  <c r="G524" i="19"/>
  <c r="E525" i="19"/>
  <c r="F525" i="19"/>
  <c r="G525" i="19"/>
  <c r="E526" i="19"/>
  <c r="F526" i="19"/>
  <c r="G526" i="19"/>
  <c r="E527" i="19"/>
  <c r="F527" i="19"/>
  <c r="G527" i="19"/>
  <c r="E528" i="19"/>
  <c r="F528" i="19"/>
  <c r="G528" i="19"/>
  <c r="E529" i="19"/>
  <c r="F529" i="19"/>
  <c r="G529" i="19"/>
  <c r="E530" i="19"/>
  <c r="F530" i="19"/>
  <c r="G530" i="19"/>
  <c r="E531" i="19"/>
  <c r="F531" i="19"/>
  <c r="G531" i="19"/>
  <c r="E532" i="19"/>
  <c r="F532" i="19"/>
  <c r="G532" i="19"/>
  <c r="E533" i="19"/>
  <c r="F533" i="19"/>
  <c r="G533" i="19"/>
  <c r="E534" i="19"/>
  <c r="F534" i="19"/>
  <c r="G534" i="19"/>
  <c r="E535" i="19"/>
  <c r="F535" i="19"/>
  <c r="G535" i="19"/>
  <c r="E536" i="19"/>
  <c r="F536" i="19"/>
  <c r="G536" i="19"/>
  <c r="E537" i="19"/>
  <c r="F537" i="19"/>
  <c r="G537" i="19"/>
  <c r="E538" i="19"/>
  <c r="F538" i="19"/>
  <c r="G538" i="19"/>
  <c r="E539" i="19"/>
  <c r="F539" i="19"/>
  <c r="G539" i="19"/>
  <c r="E540" i="19"/>
  <c r="F540" i="19"/>
  <c r="G540" i="19"/>
  <c r="E541" i="19"/>
  <c r="F541" i="19"/>
  <c r="G541" i="19"/>
  <c r="E542" i="19"/>
  <c r="F542" i="19"/>
  <c r="G542" i="19"/>
  <c r="E543" i="19"/>
  <c r="F543" i="19"/>
  <c r="G543" i="19"/>
  <c r="E544" i="19"/>
  <c r="F544" i="19"/>
  <c r="G544" i="19"/>
  <c r="E545" i="19"/>
  <c r="F545" i="19"/>
  <c r="G545" i="19"/>
  <c r="E546" i="19"/>
  <c r="F546" i="19"/>
  <c r="G546" i="19"/>
  <c r="E547" i="19"/>
  <c r="F547" i="19"/>
  <c r="G547" i="19"/>
  <c r="E548" i="19"/>
  <c r="F548" i="19"/>
  <c r="G548" i="19"/>
  <c r="E549" i="19"/>
  <c r="F549" i="19"/>
  <c r="G549" i="19"/>
  <c r="E550" i="19"/>
  <c r="F550" i="19"/>
  <c r="G550" i="19"/>
  <c r="E551" i="19"/>
  <c r="F551" i="19"/>
  <c r="G551" i="19"/>
  <c r="E552" i="19"/>
  <c r="F552" i="19"/>
  <c r="G552" i="19"/>
  <c r="E553" i="19"/>
  <c r="F553" i="19"/>
  <c r="G553" i="19"/>
  <c r="E554" i="19"/>
  <c r="F554" i="19"/>
  <c r="G554" i="19"/>
  <c r="E555" i="19"/>
  <c r="F555" i="19"/>
  <c r="G555" i="19"/>
  <c r="E556" i="19"/>
  <c r="F556" i="19"/>
  <c r="G556" i="19"/>
  <c r="E557" i="19"/>
  <c r="F557" i="19"/>
  <c r="G557" i="19"/>
  <c r="E558" i="19"/>
  <c r="F558" i="19"/>
  <c r="G558" i="19"/>
  <c r="E559" i="19"/>
  <c r="F559" i="19"/>
  <c r="G559" i="19"/>
  <c r="E560" i="19"/>
  <c r="F560" i="19"/>
  <c r="G560" i="19"/>
  <c r="E561" i="19"/>
  <c r="F561" i="19"/>
  <c r="G561" i="19"/>
  <c r="E562" i="19"/>
  <c r="F562" i="19"/>
  <c r="G562" i="19"/>
  <c r="E563" i="19"/>
  <c r="F563" i="19"/>
  <c r="G563" i="19"/>
  <c r="E564" i="19"/>
  <c r="F564" i="19"/>
  <c r="G564" i="19"/>
  <c r="E565" i="19"/>
  <c r="F565" i="19"/>
  <c r="G565" i="19"/>
  <c r="E566" i="19"/>
  <c r="F566" i="19"/>
  <c r="G566" i="19"/>
  <c r="E567" i="19"/>
  <c r="F567" i="19"/>
  <c r="G567" i="19"/>
  <c r="E568" i="19"/>
  <c r="F568" i="19"/>
  <c r="G568" i="19"/>
  <c r="E569" i="19"/>
  <c r="F569" i="19"/>
  <c r="G569" i="19"/>
  <c r="E570" i="19"/>
  <c r="F570" i="19"/>
  <c r="G570" i="19"/>
  <c r="E571" i="19"/>
  <c r="F571" i="19"/>
  <c r="G571" i="19"/>
  <c r="E572" i="19"/>
  <c r="F572" i="19"/>
  <c r="G572" i="19"/>
  <c r="E573" i="19"/>
  <c r="F573" i="19"/>
  <c r="G573" i="19"/>
  <c r="E574" i="19"/>
  <c r="F574" i="19"/>
  <c r="G574" i="19"/>
  <c r="E575" i="19"/>
  <c r="F575" i="19"/>
  <c r="G575" i="19"/>
  <c r="E576" i="19"/>
  <c r="F576" i="19"/>
  <c r="G576" i="19"/>
  <c r="E577" i="19"/>
  <c r="F577" i="19"/>
  <c r="G577" i="19"/>
  <c r="E578" i="19"/>
  <c r="F578" i="19"/>
  <c r="G578" i="19"/>
  <c r="E579" i="19"/>
  <c r="F579" i="19"/>
  <c r="G579" i="19"/>
  <c r="E580" i="19"/>
  <c r="F580" i="19"/>
  <c r="G580" i="19"/>
  <c r="E581" i="19"/>
  <c r="F581" i="19"/>
  <c r="G581" i="19"/>
  <c r="E582" i="19"/>
  <c r="F582" i="19"/>
  <c r="G582" i="19"/>
  <c r="E583" i="19"/>
  <c r="F583" i="19"/>
  <c r="G583" i="19"/>
  <c r="E584" i="19"/>
  <c r="F584" i="19"/>
  <c r="G584" i="19"/>
  <c r="E585" i="19"/>
  <c r="F585" i="19"/>
  <c r="G585" i="19"/>
  <c r="E586" i="19"/>
  <c r="F586" i="19"/>
  <c r="G586" i="19"/>
  <c r="E587" i="19"/>
  <c r="F587" i="19"/>
  <c r="G587" i="19"/>
  <c r="E588" i="19"/>
  <c r="F588" i="19"/>
  <c r="G588" i="19"/>
  <c r="E589" i="19"/>
  <c r="F589" i="19"/>
  <c r="G589" i="19"/>
  <c r="E590" i="19"/>
  <c r="F590" i="19"/>
  <c r="G590" i="19"/>
  <c r="E591" i="19"/>
  <c r="F591" i="19"/>
  <c r="G591" i="19"/>
  <c r="E592" i="19"/>
  <c r="F592" i="19"/>
  <c r="G592" i="19"/>
  <c r="E593" i="19"/>
  <c r="F593" i="19"/>
  <c r="G593" i="19"/>
  <c r="E594" i="19"/>
  <c r="F594" i="19"/>
  <c r="G594" i="19"/>
  <c r="E595" i="19"/>
  <c r="F595" i="19"/>
  <c r="G595" i="19"/>
  <c r="E596" i="19"/>
  <c r="F596" i="19"/>
  <c r="G596" i="19"/>
  <c r="E597" i="19"/>
  <c r="F597" i="19"/>
  <c r="G597" i="19"/>
  <c r="E598" i="19"/>
  <c r="F598" i="19"/>
  <c r="G598" i="19"/>
  <c r="E599" i="19"/>
  <c r="F599" i="19"/>
  <c r="G599" i="19"/>
  <c r="E600" i="19"/>
  <c r="F600" i="19"/>
  <c r="G600" i="19"/>
  <c r="E601" i="19"/>
  <c r="F601" i="19"/>
  <c r="G601" i="19"/>
  <c r="E602" i="19"/>
  <c r="F602" i="19"/>
  <c r="G602" i="19"/>
  <c r="E603" i="19"/>
  <c r="F603" i="19"/>
  <c r="G603" i="19"/>
  <c r="E604" i="19"/>
  <c r="F604" i="19"/>
  <c r="G604" i="19"/>
  <c r="E605" i="19"/>
  <c r="F605" i="19"/>
  <c r="G605" i="19"/>
  <c r="E606" i="19"/>
  <c r="F606" i="19"/>
  <c r="G606" i="19"/>
  <c r="E607" i="19"/>
  <c r="F607" i="19"/>
  <c r="G607" i="19"/>
  <c r="E608" i="19"/>
  <c r="F608" i="19"/>
  <c r="G608" i="19"/>
  <c r="E609" i="19"/>
  <c r="F609" i="19"/>
  <c r="G609" i="19"/>
  <c r="E610" i="19"/>
  <c r="F610" i="19"/>
  <c r="G610" i="19"/>
  <c r="E611" i="19"/>
  <c r="F611" i="19"/>
  <c r="G611" i="19"/>
  <c r="E612" i="19"/>
  <c r="F612" i="19"/>
  <c r="G612" i="19"/>
  <c r="E613" i="19"/>
  <c r="F613" i="19"/>
  <c r="G613" i="19"/>
  <c r="E614" i="19"/>
  <c r="F614" i="19"/>
  <c r="G614" i="19"/>
  <c r="E615" i="19"/>
  <c r="F615" i="19"/>
  <c r="G615" i="19"/>
  <c r="E616" i="19"/>
  <c r="F616" i="19"/>
  <c r="G616" i="19"/>
  <c r="E617" i="19"/>
  <c r="F617" i="19"/>
  <c r="G617" i="19"/>
  <c r="E618" i="19"/>
  <c r="F618" i="19"/>
  <c r="G618" i="19"/>
  <c r="E619" i="19"/>
  <c r="F619" i="19"/>
  <c r="G619" i="19"/>
  <c r="E620" i="19"/>
  <c r="F620" i="19"/>
  <c r="G620" i="19"/>
  <c r="E621" i="19"/>
  <c r="F621" i="19"/>
  <c r="G621" i="19"/>
  <c r="E622" i="19"/>
  <c r="F622" i="19"/>
  <c r="G622" i="19"/>
  <c r="E623" i="19"/>
  <c r="F623" i="19"/>
  <c r="G623" i="19"/>
  <c r="E624" i="19"/>
  <c r="F624" i="19"/>
  <c r="G624" i="19"/>
  <c r="E625" i="19"/>
  <c r="F625" i="19"/>
  <c r="G625" i="19"/>
  <c r="E626" i="19"/>
  <c r="F626" i="19"/>
  <c r="G626" i="19"/>
  <c r="E627" i="19"/>
  <c r="F627" i="19"/>
  <c r="G627" i="19"/>
  <c r="E628" i="19"/>
  <c r="F628" i="19"/>
  <c r="G628" i="19"/>
  <c r="E629" i="19"/>
  <c r="F629" i="19"/>
  <c r="G629" i="19"/>
  <c r="E630" i="19"/>
  <c r="F630" i="19"/>
  <c r="G630" i="19"/>
  <c r="E631" i="19"/>
  <c r="F631" i="19"/>
  <c r="G631" i="19"/>
  <c r="E632" i="19"/>
  <c r="F632" i="19"/>
  <c r="G632" i="19"/>
  <c r="E633" i="19"/>
  <c r="F633" i="19"/>
  <c r="G633" i="19"/>
  <c r="E634" i="19"/>
  <c r="F634" i="19"/>
  <c r="G634" i="19"/>
  <c r="E635" i="19"/>
  <c r="F635" i="19"/>
  <c r="G635" i="19"/>
  <c r="E636" i="19"/>
  <c r="F636" i="19"/>
  <c r="G636" i="19"/>
  <c r="E637" i="19"/>
  <c r="F637" i="19"/>
  <c r="G637" i="19"/>
  <c r="E638" i="19"/>
  <c r="F638" i="19"/>
  <c r="G638" i="19"/>
  <c r="E639" i="19"/>
  <c r="F639" i="19"/>
  <c r="G639" i="19"/>
  <c r="E640" i="19"/>
  <c r="F640" i="19"/>
  <c r="G640" i="19"/>
  <c r="E641" i="19"/>
  <c r="F641" i="19"/>
  <c r="G641" i="19"/>
  <c r="E642" i="19"/>
  <c r="F642" i="19"/>
  <c r="G642" i="19"/>
  <c r="E643" i="19"/>
  <c r="F643" i="19"/>
  <c r="G643" i="19"/>
  <c r="E644" i="19"/>
  <c r="F644" i="19"/>
  <c r="G644" i="19"/>
  <c r="E645" i="19"/>
  <c r="F645" i="19"/>
  <c r="G645" i="19"/>
  <c r="E646" i="19"/>
  <c r="F646" i="19"/>
  <c r="G646" i="19"/>
  <c r="E647" i="19"/>
  <c r="F647" i="19"/>
  <c r="G647" i="19"/>
  <c r="E648" i="19"/>
  <c r="F648" i="19"/>
  <c r="G648" i="19"/>
  <c r="E649" i="19"/>
  <c r="F649" i="19"/>
  <c r="G649" i="19"/>
  <c r="E650" i="19"/>
  <c r="F650" i="19"/>
  <c r="G650" i="19"/>
  <c r="E651" i="19"/>
  <c r="F651" i="19"/>
  <c r="G651" i="19"/>
  <c r="E652" i="19"/>
  <c r="F652" i="19"/>
  <c r="G652" i="19"/>
  <c r="E653" i="19"/>
  <c r="F653" i="19"/>
  <c r="G653" i="19"/>
  <c r="E654" i="19"/>
  <c r="F654" i="19"/>
  <c r="G654" i="19"/>
  <c r="E655" i="19"/>
  <c r="F655" i="19"/>
  <c r="G655" i="19"/>
  <c r="E656" i="19"/>
  <c r="F656" i="19"/>
  <c r="G656" i="19"/>
  <c r="E657" i="19"/>
  <c r="F657" i="19"/>
  <c r="G657" i="19"/>
  <c r="E658" i="19"/>
  <c r="F658" i="19"/>
  <c r="G658" i="19"/>
  <c r="E659" i="19"/>
  <c r="F659" i="19"/>
  <c r="G659" i="19"/>
  <c r="E660" i="19"/>
  <c r="F660" i="19"/>
  <c r="G660" i="19"/>
  <c r="E661" i="19"/>
  <c r="F661" i="19"/>
  <c r="G661" i="19"/>
  <c r="E662" i="19"/>
  <c r="F662" i="19"/>
  <c r="G662" i="19"/>
  <c r="E663" i="19"/>
  <c r="F663" i="19"/>
  <c r="G663" i="19"/>
  <c r="E664" i="19"/>
  <c r="F664" i="19"/>
  <c r="G664" i="19"/>
  <c r="E665" i="19"/>
  <c r="F665" i="19"/>
  <c r="G665" i="19"/>
  <c r="E666" i="19"/>
  <c r="F666" i="19"/>
  <c r="G666" i="19"/>
  <c r="E667" i="19"/>
  <c r="F667" i="19"/>
  <c r="G667" i="19"/>
  <c r="E668" i="19"/>
  <c r="F668" i="19"/>
  <c r="G668" i="19"/>
  <c r="E669" i="19"/>
  <c r="F669" i="19"/>
  <c r="G669" i="19"/>
  <c r="E670" i="19"/>
  <c r="F670" i="19"/>
  <c r="G670" i="19"/>
  <c r="E671" i="19"/>
  <c r="F671" i="19"/>
  <c r="G671" i="19"/>
  <c r="E672" i="19"/>
  <c r="F672" i="19"/>
  <c r="G672" i="19"/>
  <c r="E673" i="19"/>
  <c r="F673" i="19"/>
  <c r="G673" i="19"/>
  <c r="E674" i="19"/>
  <c r="F674" i="19"/>
  <c r="G674" i="19"/>
  <c r="E675" i="19"/>
  <c r="F675" i="19"/>
  <c r="G675" i="19"/>
  <c r="E676" i="19"/>
  <c r="F676" i="19"/>
  <c r="G676" i="19"/>
  <c r="E677" i="19"/>
  <c r="F677" i="19"/>
  <c r="G677" i="19"/>
  <c r="E678" i="19"/>
  <c r="F678" i="19"/>
  <c r="G678" i="19"/>
  <c r="E679" i="19"/>
  <c r="F679" i="19"/>
  <c r="G679" i="19"/>
  <c r="E680" i="19"/>
  <c r="F680" i="19"/>
  <c r="G680" i="19"/>
  <c r="E681" i="19"/>
  <c r="F681" i="19"/>
  <c r="G681" i="19"/>
  <c r="E682" i="19"/>
  <c r="F682" i="19"/>
  <c r="G682" i="19"/>
  <c r="E683" i="19"/>
  <c r="F683" i="19"/>
  <c r="G683" i="19"/>
  <c r="E684" i="19"/>
  <c r="F684" i="19"/>
  <c r="G684" i="19"/>
  <c r="E685" i="19"/>
  <c r="F685" i="19"/>
  <c r="G685" i="19"/>
  <c r="E686" i="19"/>
  <c r="F686" i="19"/>
  <c r="G686" i="19"/>
  <c r="E687" i="19"/>
  <c r="F687" i="19"/>
  <c r="G687" i="19"/>
  <c r="E688" i="19"/>
  <c r="F688" i="19"/>
  <c r="G688" i="19"/>
  <c r="E689" i="19"/>
  <c r="F689" i="19"/>
  <c r="G689" i="19"/>
  <c r="E690" i="19"/>
  <c r="F690" i="19"/>
  <c r="G690" i="19"/>
  <c r="E691" i="19"/>
  <c r="F691" i="19"/>
  <c r="G691" i="19"/>
  <c r="E692" i="19"/>
  <c r="F692" i="19"/>
  <c r="G692" i="19"/>
  <c r="E693" i="19"/>
  <c r="F693" i="19"/>
  <c r="G693" i="19"/>
  <c r="E694" i="19"/>
  <c r="F694" i="19"/>
  <c r="G694" i="19"/>
  <c r="E695" i="19"/>
  <c r="F695" i="19"/>
  <c r="G695" i="19"/>
  <c r="E696" i="19"/>
  <c r="F696" i="19"/>
  <c r="G696" i="19"/>
  <c r="E697" i="19"/>
  <c r="F697" i="19"/>
  <c r="G697" i="19"/>
  <c r="E698" i="19"/>
  <c r="F698" i="19"/>
  <c r="G698" i="19"/>
  <c r="E699" i="19"/>
  <c r="F699" i="19"/>
  <c r="G699" i="19"/>
  <c r="E700" i="19"/>
  <c r="F700" i="19"/>
  <c r="G700" i="19"/>
  <c r="E701" i="19"/>
  <c r="F701" i="19"/>
  <c r="G701" i="19"/>
  <c r="E702" i="19"/>
  <c r="F702" i="19"/>
  <c r="G702" i="19"/>
  <c r="E703" i="19"/>
  <c r="F703" i="19"/>
  <c r="G703" i="19"/>
  <c r="E704" i="19"/>
  <c r="F704" i="19"/>
  <c r="G704" i="19"/>
  <c r="E705" i="19"/>
  <c r="F705" i="19"/>
  <c r="G705" i="19"/>
  <c r="E706" i="19"/>
  <c r="F706" i="19"/>
  <c r="G706" i="19"/>
  <c r="E707" i="19"/>
  <c r="F707" i="19"/>
  <c r="G707" i="19"/>
  <c r="E708" i="19"/>
  <c r="F708" i="19"/>
  <c r="G708" i="19"/>
  <c r="E709" i="19"/>
  <c r="F709" i="19"/>
  <c r="G709" i="19"/>
  <c r="E710" i="19"/>
  <c r="F710" i="19"/>
  <c r="G710" i="19"/>
  <c r="E711" i="19"/>
  <c r="F711" i="19"/>
  <c r="G711" i="19"/>
  <c r="E712" i="19"/>
  <c r="F712" i="19"/>
  <c r="G712" i="19"/>
  <c r="E713" i="19"/>
  <c r="F713" i="19"/>
  <c r="G713" i="19"/>
  <c r="E714" i="19"/>
  <c r="F714" i="19"/>
  <c r="G714" i="19"/>
  <c r="E715" i="19"/>
  <c r="F715" i="19"/>
  <c r="G715" i="19"/>
  <c r="E716" i="19"/>
  <c r="F716" i="19"/>
  <c r="G716" i="19"/>
  <c r="E717" i="19"/>
  <c r="F717" i="19"/>
  <c r="G717" i="19"/>
  <c r="E718" i="19"/>
  <c r="F718" i="19"/>
  <c r="G718" i="19"/>
  <c r="E719" i="19"/>
  <c r="F719" i="19"/>
  <c r="G719" i="19"/>
  <c r="E720" i="19"/>
  <c r="F720" i="19"/>
  <c r="G720" i="19"/>
  <c r="E721" i="19"/>
  <c r="F721" i="19"/>
  <c r="G721" i="19"/>
  <c r="E722" i="19"/>
  <c r="F722" i="19"/>
  <c r="G722" i="19"/>
  <c r="E723" i="19"/>
  <c r="F723" i="19"/>
  <c r="G723" i="19"/>
  <c r="E724" i="19"/>
  <c r="F724" i="19"/>
  <c r="G724" i="19"/>
  <c r="E725" i="19"/>
  <c r="F725" i="19"/>
  <c r="G725" i="19"/>
  <c r="E726" i="19"/>
  <c r="F726" i="19"/>
  <c r="G726" i="19"/>
  <c r="E727" i="19"/>
  <c r="F727" i="19"/>
  <c r="G727" i="19"/>
  <c r="E728" i="19"/>
  <c r="F728" i="19"/>
  <c r="G728" i="19"/>
  <c r="E729" i="19"/>
  <c r="F729" i="19"/>
  <c r="G729" i="19"/>
  <c r="E730" i="19"/>
  <c r="F730" i="19"/>
  <c r="G730" i="19"/>
  <c r="E731" i="19"/>
  <c r="F731" i="19"/>
  <c r="G731" i="19"/>
  <c r="E732" i="19"/>
  <c r="F732" i="19"/>
  <c r="G732" i="19"/>
  <c r="E733" i="19"/>
  <c r="F733" i="19"/>
  <c r="G733" i="19"/>
  <c r="E734" i="19"/>
  <c r="F734" i="19"/>
  <c r="G734" i="19"/>
  <c r="E735" i="19"/>
  <c r="F735" i="19"/>
  <c r="G735" i="19"/>
  <c r="E736" i="19"/>
  <c r="F736" i="19"/>
  <c r="G736" i="19"/>
  <c r="E737" i="19"/>
  <c r="F737" i="19"/>
  <c r="G737" i="19"/>
  <c r="E738" i="19"/>
  <c r="F738" i="19"/>
  <c r="G738" i="19"/>
  <c r="E739" i="19"/>
  <c r="F739" i="19"/>
  <c r="G739" i="19"/>
  <c r="E740" i="19"/>
  <c r="F740" i="19"/>
  <c r="G740" i="19"/>
  <c r="E741" i="19"/>
  <c r="F741" i="19"/>
  <c r="G741" i="19"/>
  <c r="E742" i="19"/>
  <c r="F742" i="19"/>
  <c r="G742" i="19"/>
  <c r="E743" i="19"/>
  <c r="F743" i="19"/>
  <c r="G743" i="19"/>
  <c r="E744" i="19"/>
  <c r="F744" i="19"/>
  <c r="G744" i="19"/>
  <c r="E745" i="19"/>
  <c r="F745" i="19"/>
  <c r="G745" i="19"/>
  <c r="E746" i="19"/>
  <c r="F746" i="19"/>
  <c r="G746" i="19"/>
  <c r="E747" i="19"/>
  <c r="F747" i="19"/>
  <c r="G747" i="19"/>
  <c r="E748" i="19"/>
  <c r="F748" i="19"/>
  <c r="G748" i="19"/>
  <c r="E749" i="19"/>
  <c r="F749" i="19"/>
  <c r="G749" i="19"/>
  <c r="E750" i="19"/>
  <c r="F750" i="19"/>
  <c r="G750" i="19"/>
  <c r="E751" i="19"/>
  <c r="F751" i="19"/>
  <c r="G751" i="19"/>
  <c r="E752" i="19"/>
  <c r="F752" i="19"/>
  <c r="G752" i="19"/>
  <c r="E753" i="19"/>
  <c r="F753" i="19"/>
  <c r="G753" i="19"/>
  <c r="E754" i="19"/>
  <c r="F754" i="19"/>
  <c r="G754" i="19"/>
  <c r="E755" i="19"/>
  <c r="F755" i="19"/>
  <c r="G755" i="19"/>
  <c r="E756" i="19"/>
  <c r="F756" i="19"/>
  <c r="G756" i="19"/>
  <c r="E757" i="19"/>
  <c r="F757" i="19"/>
  <c r="G757" i="19"/>
  <c r="E758" i="19"/>
  <c r="F758" i="19"/>
  <c r="G758" i="19"/>
  <c r="E759" i="19"/>
  <c r="F759" i="19"/>
  <c r="G759" i="19"/>
  <c r="E760" i="19"/>
  <c r="F760" i="19"/>
  <c r="G760" i="19"/>
  <c r="E761" i="19"/>
  <c r="F761" i="19"/>
  <c r="G761" i="19"/>
  <c r="E762" i="19"/>
  <c r="F762" i="19"/>
  <c r="G762" i="19"/>
  <c r="E763" i="19"/>
  <c r="F763" i="19"/>
  <c r="G763" i="19"/>
  <c r="E764" i="19"/>
  <c r="F764" i="19"/>
  <c r="G764" i="19"/>
  <c r="E765" i="19"/>
  <c r="F765" i="19"/>
  <c r="G765" i="19"/>
  <c r="E766" i="19"/>
  <c r="F766" i="19"/>
  <c r="G766" i="19"/>
  <c r="E767" i="19"/>
  <c r="F767" i="19"/>
  <c r="G767" i="19"/>
  <c r="E768" i="19"/>
  <c r="F768" i="19"/>
  <c r="G768" i="19"/>
  <c r="E769" i="19"/>
  <c r="F769" i="19"/>
  <c r="G769" i="19"/>
  <c r="E770" i="19"/>
  <c r="F770" i="19"/>
  <c r="G770" i="19"/>
  <c r="E771" i="19"/>
  <c r="F771" i="19"/>
  <c r="G771" i="19"/>
  <c r="E772" i="19"/>
  <c r="F772" i="19"/>
  <c r="G772" i="19"/>
  <c r="E773" i="19"/>
  <c r="F773" i="19"/>
  <c r="G773" i="19"/>
  <c r="E774" i="19"/>
  <c r="F774" i="19"/>
  <c r="G774" i="19"/>
  <c r="E775" i="19"/>
  <c r="F775" i="19"/>
  <c r="G775" i="19"/>
  <c r="E776" i="19"/>
  <c r="F776" i="19"/>
  <c r="G776" i="19"/>
  <c r="E777" i="19"/>
  <c r="F777" i="19"/>
  <c r="G777" i="19"/>
  <c r="E778" i="19"/>
  <c r="F778" i="19"/>
  <c r="G778" i="19"/>
  <c r="E779" i="19"/>
  <c r="F779" i="19"/>
  <c r="G779" i="19"/>
  <c r="E780" i="19"/>
  <c r="F780" i="19"/>
  <c r="G780" i="19"/>
  <c r="E781" i="19"/>
  <c r="F781" i="19"/>
  <c r="G781" i="19"/>
  <c r="E782" i="19"/>
  <c r="F782" i="19"/>
  <c r="G782" i="19"/>
  <c r="E783" i="19"/>
  <c r="F783" i="19"/>
  <c r="G783" i="19"/>
  <c r="E784" i="19"/>
  <c r="F784" i="19"/>
  <c r="G784" i="19"/>
  <c r="E785" i="19"/>
  <c r="F785" i="19"/>
  <c r="G785" i="19"/>
  <c r="E786" i="19"/>
  <c r="F786" i="19"/>
  <c r="G786" i="19"/>
  <c r="E787" i="19"/>
  <c r="F787" i="19"/>
  <c r="G787" i="19"/>
  <c r="E788" i="19"/>
  <c r="F788" i="19"/>
  <c r="G788" i="19"/>
  <c r="E789" i="19"/>
  <c r="F789" i="19"/>
  <c r="G789" i="19"/>
  <c r="E790" i="19"/>
  <c r="F790" i="19"/>
  <c r="G790" i="19"/>
  <c r="E791" i="19"/>
  <c r="F791" i="19"/>
  <c r="G791" i="19"/>
  <c r="E792" i="19"/>
  <c r="F792" i="19"/>
  <c r="G792" i="19"/>
  <c r="E793" i="19"/>
  <c r="F793" i="19"/>
  <c r="G793" i="19"/>
  <c r="E794" i="19"/>
  <c r="F794" i="19"/>
  <c r="G794" i="19"/>
  <c r="E795" i="19"/>
  <c r="F795" i="19"/>
  <c r="G795" i="19"/>
  <c r="E796" i="19"/>
  <c r="F796" i="19"/>
  <c r="G796" i="19"/>
  <c r="E797" i="19"/>
  <c r="F797" i="19"/>
  <c r="G797" i="19"/>
  <c r="E798" i="19"/>
  <c r="F798" i="19"/>
  <c r="G798" i="19"/>
  <c r="E799" i="19"/>
  <c r="F799" i="19"/>
  <c r="G799" i="19"/>
  <c r="E800" i="19"/>
  <c r="F800" i="19"/>
  <c r="G800" i="19"/>
  <c r="E801" i="19"/>
  <c r="F801" i="19"/>
  <c r="G801" i="19"/>
  <c r="E802" i="19"/>
  <c r="F802" i="19"/>
  <c r="G802" i="19"/>
  <c r="E803" i="19"/>
  <c r="F803" i="19"/>
  <c r="G803" i="19"/>
  <c r="E804" i="19"/>
  <c r="F804" i="19"/>
  <c r="G804" i="19"/>
  <c r="E805" i="19"/>
  <c r="F805" i="19"/>
  <c r="G805" i="19"/>
  <c r="E806" i="19"/>
  <c r="F806" i="19"/>
  <c r="G806" i="19"/>
  <c r="E807" i="19"/>
  <c r="F807" i="19"/>
  <c r="G807" i="19"/>
  <c r="E808" i="19"/>
  <c r="F808" i="19"/>
  <c r="G808" i="19"/>
  <c r="E809" i="19"/>
  <c r="F809" i="19"/>
  <c r="G809" i="19"/>
  <c r="E810" i="19"/>
  <c r="F810" i="19"/>
  <c r="G810" i="19"/>
  <c r="E811" i="19"/>
  <c r="F811" i="19"/>
  <c r="G811" i="19"/>
  <c r="E812" i="19"/>
  <c r="F812" i="19"/>
  <c r="G812" i="19"/>
  <c r="E813" i="19"/>
  <c r="F813" i="19"/>
  <c r="G813" i="19"/>
  <c r="E814" i="19"/>
  <c r="F814" i="19"/>
  <c r="G814" i="19"/>
  <c r="E815" i="19"/>
  <c r="F815" i="19"/>
  <c r="G815" i="19"/>
  <c r="E816" i="19"/>
  <c r="F816" i="19"/>
  <c r="G816" i="19"/>
  <c r="E817" i="19"/>
  <c r="F817" i="19"/>
  <c r="G817" i="19"/>
  <c r="E818" i="19"/>
  <c r="F818" i="19"/>
  <c r="G818" i="19"/>
  <c r="E819" i="19"/>
  <c r="F819" i="19"/>
  <c r="G819" i="19"/>
  <c r="E820" i="19"/>
  <c r="F820" i="19"/>
  <c r="G820" i="19"/>
  <c r="E821" i="19"/>
  <c r="F821" i="19"/>
  <c r="G821" i="19"/>
  <c r="E822" i="19"/>
  <c r="F822" i="19"/>
  <c r="G822" i="19"/>
  <c r="E823" i="19"/>
  <c r="F823" i="19"/>
  <c r="G823" i="19"/>
  <c r="E824" i="19"/>
  <c r="F824" i="19"/>
  <c r="G824" i="19"/>
  <c r="E825" i="19"/>
  <c r="F825" i="19"/>
  <c r="G825" i="19"/>
  <c r="E826" i="19"/>
  <c r="F826" i="19"/>
  <c r="G826" i="19"/>
  <c r="E827" i="19"/>
  <c r="F827" i="19"/>
  <c r="G827" i="19"/>
  <c r="E828" i="19"/>
  <c r="F828" i="19"/>
  <c r="G828" i="19"/>
  <c r="E829" i="19"/>
  <c r="F829" i="19"/>
  <c r="G829" i="19"/>
  <c r="E830" i="19"/>
  <c r="F830" i="19"/>
  <c r="G830" i="19"/>
  <c r="E831" i="19"/>
  <c r="F831" i="19"/>
  <c r="G831" i="19"/>
  <c r="E832" i="19"/>
  <c r="F832" i="19"/>
  <c r="G832" i="19"/>
  <c r="E833" i="19"/>
  <c r="F833" i="19"/>
  <c r="G833" i="19"/>
  <c r="E834" i="19"/>
  <c r="F834" i="19"/>
  <c r="G834" i="19"/>
  <c r="E835" i="19"/>
  <c r="F835" i="19"/>
  <c r="G835" i="19"/>
  <c r="E836" i="19"/>
  <c r="F836" i="19"/>
  <c r="G836" i="19"/>
  <c r="E837" i="19"/>
  <c r="F837" i="19"/>
  <c r="G837" i="19"/>
  <c r="E838" i="19"/>
  <c r="F838" i="19"/>
  <c r="G838" i="19"/>
  <c r="E839" i="19"/>
  <c r="F839" i="19"/>
  <c r="G839" i="19"/>
  <c r="E840" i="19"/>
  <c r="F840" i="19"/>
  <c r="G840" i="19"/>
  <c r="E841" i="19"/>
  <c r="F841" i="19"/>
  <c r="G841" i="19"/>
  <c r="E842" i="19"/>
  <c r="F842" i="19"/>
  <c r="G842" i="19"/>
  <c r="E843" i="19"/>
  <c r="F843" i="19"/>
  <c r="G843" i="19"/>
  <c r="E844" i="19"/>
  <c r="F844" i="19"/>
  <c r="G844" i="19"/>
  <c r="E845" i="19"/>
  <c r="F845" i="19"/>
  <c r="G845" i="19"/>
  <c r="E846" i="19"/>
  <c r="F846" i="19"/>
  <c r="G846" i="19"/>
  <c r="E847" i="19"/>
  <c r="F847" i="19"/>
  <c r="G847" i="19"/>
  <c r="E848" i="19"/>
  <c r="F848" i="19"/>
  <c r="G848" i="19"/>
  <c r="E849" i="19"/>
  <c r="F849" i="19"/>
  <c r="G849" i="19"/>
  <c r="E850" i="19"/>
  <c r="F850" i="19"/>
  <c r="G850" i="19"/>
  <c r="E851" i="19"/>
  <c r="F851" i="19"/>
  <c r="G851" i="19"/>
  <c r="E852" i="19"/>
  <c r="F852" i="19"/>
  <c r="G852" i="19"/>
  <c r="E853" i="19"/>
  <c r="F853" i="19"/>
  <c r="G853" i="19"/>
  <c r="E854" i="19"/>
  <c r="F854" i="19"/>
  <c r="G854" i="19"/>
  <c r="E855" i="19"/>
  <c r="F855" i="19"/>
  <c r="G855" i="19"/>
  <c r="E856" i="19"/>
  <c r="F856" i="19"/>
  <c r="G856" i="19"/>
  <c r="E857" i="19"/>
  <c r="F857" i="19"/>
  <c r="G857" i="19"/>
  <c r="E858" i="19"/>
  <c r="F858" i="19"/>
  <c r="G858" i="19"/>
  <c r="E859" i="19"/>
  <c r="F859" i="19"/>
  <c r="G859" i="19"/>
  <c r="E860" i="19"/>
  <c r="F860" i="19"/>
  <c r="G860" i="19"/>
  <c r="E861" i="19"/>
  <c r="F861" i="19"/>
  <c r="G861" i="19"/>
  <c r="E862" i="19"/>
  <c r="F862" i="19"/>
  <c r="G862" i="19"/>
  <c r="E863" i="19"/>
  <c r="F863" i="19"/>
  <c r="G863" i="19"/>
  <c r="E864" i="19"/>
  <c r="F864" i="19"/>
  <c r="G864" i="19"/>
  <c r="E865" i="19"/>
  <c r="F865" i="19"/>
  <c r="G865" i="19"/>
  <c r="E866" i="19"/>
  <c r="F866" i="19"/>
  <c r="G866" i="19"/>
  <c r="E867" i="19"/>
  <c r="F867" i="19"/>
  <c r="G867" i="19"/>
  <c r="E868" i="19"/>
  <c r="F868" i="19"/>
  <c r="G868" i="19"/>
  <c r="E869" i="19"/>
  <c r="F869" i="19"/>
  <c r="G869" i="19"/>
  <c r="E870" i="19"/>
  <c r="F870" i="19"/>
  <c r="G870" i="19"/>
  <c r="H155" i="20" l="1"/>
  <c r="P145" i="20"/>
  <c r="L145" i="20"/>
  <c r="H145" i="20"/>
  <c r="P147" i="20"/>
  <c r="L147" i="20"/>
  <c r="H147" i="20"/>
  <c r="P115" i="20"/>
  <c r="L115" i="20"/>
  <c r="H115" i="20"/>
  <c r="P131" i="20"/>
  <c r="L131" i="20"/>
  <c r="H131" i="20"/>
  <c r="P119" i="20"/>
  <c r="L119" i="20"/>
  <c r="H119" i="20"/>
  <c r="P125" i="20"/>
  <c r="L125" i="20"/>
  <c r="H125" i="20"/>
  <c r="P124" i="20"/>
  <c r="L124" i="20"/>
  <c r="H124" i="20"/>
  <c r="P154" i="20"/>
  <c r="L154" i="20"/>
  <c r="H154" i="20"/>
  <c r="P5" i="20"/>
  <c r="L5" i="20"/>
  <c r="H5" i="20"/>
  <c r="O155" i="20"/>
  <c r="K155" i="20"/>
  <c r="G155" i="20"/>
  <c r="O145" i="20"/>
  <c r="K145" i="20"/>
  <c r="G145" i="20"/>
  <c r="O147" i="20"/>
  <c r="K147" i="20"/>
  <c r="G147" i="20"/>
  <c r="O115" i="20"/>
  <c r="K115" i="20"/>
  <c r="G115" i="20"/>
  <c r="O131" i="20"/>
  <c r="K131" i="20"/>
  <c r="G131" i="20"/>
  <c r="O119" i="20"/>
  <c r="K119" i="20"/>
  <c r="G119" i="20"/>
  <c r="O125" i="20"/>
  <c r="K125" i="20"/>
  <c r="G125" i="20"/>
  <c r="O124" i="20"/>
  <c r="K124" i="20"/>
  <c r="G124" i="20"/>
  <c r="O154" i="20"/>
  <c r="K154" i="20"/>
  <c r="G154" i="20"/>
  <c r="O5" i="20"/>
  <c r="K5" i="20"/>
  <c r="G5" i="20"/>
  <c r="P155" i="20"/>
  <c r="N155" i="20"/>
  <c r="J155" i="20"/>
  <c r="F155" i="20"/>
  <c r="N145" i="20"/>
  <c r="J145" i="20"/>
  <c r="F145" i="20"/>
  <c r="N147" i="20"/>
  <c r="J147" i="20"/>
  <c r="F147" i="20"/>
  <c r="N115" i="20"/>
  <c r="J115" i="20"/>
  <c r="F115" i="20"/>
  <c r="N131" i="20"/>
  <c r="J131" i="20"/>
  <c r="F131" i="20"/>
  <c r="N119" i="20"/>
  <c r="J119" i="20"/>
  <c r="F119" i="20"/>
  <c r="N125" i="20"/>
  <c r="J125" i="20"/>
  <c r="F125" i="20"/>
  <c r="N124" i="20"/>
  <c r="J124" i="20"/>
  <c r="F124" i="20"/>
  <c r="N154" i="20"/>
  <c r="J154" i="20"/>
  <c r="F154" i="20"/>
  <c r="N5" i="20"/>
  <c r="J5" i="20"/>
  <c r="F5" i="20"/>
  <c r="L155" i="20"/>
  <c r="Q155" i="20"/>
  <c r="M155" i="20"/>
  <c r="I155" i="20"/>
  <c r="Q145" i="20"/>
  <c r="M145" i="20"/>
  <c r="I145" i="20"/>
  <c r="Q147" i="20"/>
  <c r="M147" i="20"/>
  <c r="I147" i="20"/>
  <c r="Q115" i="20"/>
  <c r="M115" i="20"/>
  <c r="I115" i="20"/>
  <c r="Q131" i="20"/>
  <c r="M131" i="20"/>
  <c r="I131" i="20"/>
  <c r="Q119" i="20"/>
  <c r="M119" i="20"/>
  <c r="I119" i="20"/>
  <c r="Q125" i="20"/>
  <c r="M125" i="20"/>
  <c r="I125" i="20"/>
  <c r="Q124" i="20"/>
  <c r="M124" i="20"/>
  <c r="I124" i="20"/>
  <c r="Q154" i="20"/>
  <c r="M154" i="20"/>
  <c r="I154" i="20"/>
  <c r="Q5" i="20"/>
  <c r="M5" i="20"/>
  <c r="I5" i="20"/>
  <c r="Q8" i="20"/>
  <c r="P8" i="20"/>
  <c r="O8" i="20"/>
  <c r="N8" i="20"/>
  <c r="M8" i="20"/>
  <c r="L8" i="20"/>
  <c r="K8" i="20"/>
  <c r="J8" i="20"/>
  <c r="I8" i="20"/>
  <c r="H8" i="20"/>
  <c r="G8" i="20"/>
  <c r="F8" i="20"/>
  <c r="Q89" i="20"/>
  <c r="P89" i="20"/>
  <c r="O89" i="20"/>
  <c r="N89" i="20"/>
  <c r="M89" i="20"/>
  <c r="L89" i="20"/>
  <c r="K89" i="20"/>
  <c r="J89" i="20"/>
  <c r="I89" i="20"/>
  <c r="H89" i="20"/>
  <c r="G89" i="20"/>
  <c r="F89" i="20"/>
  <c r="Q67" i="20"/>
  <c r="P67" i="20"/>
  <c r="O67" i="20"/>
  <c r="N67" i="20"/>
  <c r="M67" i="20"/>
  <c r="L67" i="20"/>
  <c r="K67" i="20"/>
  <c r="J67" i="20"/>
  <c r="I67" i="20"/>
  <c r="H67" i="20"/>
  <c r="G67" i="20"/>
  <c r="F67" i="20"/>
  <c r="Q88" i="20"/>
  <c r="P88" i="20"/>
  <c r="O88" i="20"/>
  <c r="N88" i="20"/>
  <c r="M88" i="20"/>
  <c r="L88" i="20"/>
  <c r="K88" i="20"/>
  <c r="J88" i="20"/>
  <c r="I88" i="20"/>
  <c r="H88" i="20"/>
  <c r="G88" i="20"/>
  <c r="F88" i="20"/>
  <c r="Q36" i="20"/>
  <c r="P36" i="20"/>
  <c r="O36" i="20"/>
  <c r="N36" i="20"/>
  <c r="M36" i="20"/>
  <c r="L36" i="20"/>
  <c r="K36" i="20"/>
  <c r="J36" i="20"/>
  <c r="I36" i="20"/>
  <c r="H36" i="20"/>
  <c r="G36" i="20"/>
  <c r="F36" i="20"/>
  <c r="Q35" i="20"/>
  <c r="P35" i="20"/>
  <c r="O35" i="20"/>
  <c r="N35" i="20"/>
  <c r="M35" i="20"/>
  <c r="L35" i="20"/>
  <c r="K35" i="20"/>
  <c r="J35" i="20"/>
  <c r="I35" i="20"/>
  <c r="H35" i="20"/>
  <c r="G35" i="20"/>
  <c r="F35" i="20"/>
  <c r="Q42" i="20"/>
  <c r="P42" i="20"/>
  <c r="O42" i="20"/>
  <c r="N42" i="20"/>
  <c r="M42" i="20"/>
  <c r="L42" i="20"/>
  <c r="K42" i="20"/>
  <c r="J42" i="20"/>
  <c r="I42" i="20"/>
  <c r="H42" i="20"/>
  <c r="G42" i="20"/>
  <c r="F42" i="20"/>
  <c r="Q31" i="20"/>
  <c r="P31" i="20"/>
  <c r="O31" i="20"/>
  <c r="N31" i="20"/>
  <c r="M31" i="20"/>
  <c r="L31" i="20"/>
  <c r="K31" i="20"/>
  <c r="J31" i="20"/>
  <c r="I31" i="20"/>
  <c r="H31" i="20"/>
  <c r="G31" i="20"/>
  <c r="F31" i="20"/>
  <c r="Q30" i="20"/>
  <c r="P30" i="20"/>
  <c r="O30" i="20"/>
  <c r="N30" i="20"/>
  <c r="M30" i="20"/>
  <c r="L30" i="20"/>
  <c r="K30" i="20"/>
  <c r="J30" i="20"/>
  <c r="I30" i="20"/>
  <c r="H30" i="20"/>
  <c r="G30" i="20"/>
  <c r="F30" i="20"/>
  <c r="Q18" i="20"/>
  <c r="P18" i="20"/>
  <c r="O18" i="20"/>
  <c r="N18" i="20"/>
  <c r="M18" i="20"/>
  <c r="L18" i="20"/>
  <c r="K18" i="20"/>
  <c r="J18" i="20"/>
  <c r="I18" i="20"/>
  <c r="H18" i="20"/>
  <c r="G18" i="20"/>
  <c r="F18" i="20"/>
  <c r="Q86" i="20"/>
  <c r="P86" i="20"/>
  <c r="O86" i="20"/>
  <c r="N86" i="20"/>
  <c r="M86" i="20"/>
  <c r="L86" i="20"/>
  <c r="K86" i="20"/>
  <c r="J86" i="20"/>
  <c r="I86" i="20"/>
  <c r="H86" i="20"/>
  <c r="G86" i="20"/>
  <c r="F86" i="20"/>
  <c r="Q45" i="20"/>
  <c r="P45" i="20"/>
  <c r="O45" i="20"/>
  <c r="N45" i="20"/>
  <c r="M45" i="20"/>
  <c r="L45" i="20"/>
  <c r="K45" i="20"/>
  <c r="J45" i="20"/>
  <c r="I45" i="20"/>
  <c r="H45" i="20"/>
  <c r="G45" i="20"/>
  <c r="F45" i="20"/>
  <c r="Q13" i="20"/>
  <c r="P13" i="20"/>
  <c r="O13" i="20"/>
  <c r="N13" i="20"/>
  <c r="M13" i="20"/>
  <c r="L13" i="20"/>
  <c r="K13" i="20"/>
  <c r="J13" i="20"/>
  <c r="I13" i="20"/>
  <c r="H13" i="20"/>
  <c r="G13" i="20"/>
  <c r="F13" i="20"/>
  <c r="Q12" i="20"/>
  <c r="P12" i="20"/>
  <c r="O12" i="20"/>
  <c r="N12" i="20"/>
  <c r="M12" i="20"/>
  <c r="L12" i="20"/>
  <c r="K12" i="20"/>
  <c r="J12" i="20"/>
  <c r="I12" i="20"/>
  <c r="H12" i="20"/>
  <c r="G12" i="20"/>
  <c r="F12" i="20"/>
  <c r="Q7" i="20"/>
  <c r="P7" i="20"/>
  <c r="O7" i="20"/>
  <c r="N7" i="20"/>
  <c r="M7" i="20"/>
  <c r="L7" i="20"/>
  <c r="K7" i="20"/>
  <c r="J7" i="20"/>
  <c r="I7" i="20"/>
  <c r="H7" i="20"/>
  <c r="G7" i="20"/>
  <c r="F7" i="20"/>
  <c r="Q32" i="20"/>
  <c r="P32" i="20"/>
  <c r="O32" i="20"/>
  <c r="N32" i="20"/>
  <c r="M32" i="20"/>
  <c r="L32" i="20"/>
  <c r="K32" i="20"/>
  <c r="J32" i="20"/>
  <c r="I32" i="20"/>
  <c r="H32" i="20"/>
  <c r="G32" i="20"/>
  <c r="F32" i="20"/>
  <c r="Q29" i="20"/>
  <c r="P29" i="20"/>
  <c r="O29" i="20"/>
  <c r="N29" i="20"/>
  <c r="M29" i="20"/>
  <c r="L29" i="20"/>
  <c r="K29" i="20"/>
  <c r="J29" i="20"/>
  <c r="I29" i="20"/>
  <c r="H29" i="20"/>
  <c r="G29" i="20"/>
  <c r="F29" i="20"/>
  <c r="Q28" i="20"/>
  <c r="P28" i="20"/>
  <c r="O28" i="20"/>
  <c r="N28" i="20"/>
  <c r="M28" i="20"/>
  <c r="L28" i="20"/>
  <c r="K28" i="20"/>
  <c r="J28" i="20"/>
  <c r="I28" i="20"/>
  <c r="H28" i="20"/>
  <c r="G28" i="20"/>
  <c r="F28" i="20"/>
  <c r="Q56" i="20"/>
  <c r="P56" i="20"/>
  <c r="O56" i="20"/>
  <c r="N56" i="20"/>
  <c r="M56" i="20"/>
  <c r="L56" i="20"/>
  <c r="K56" i="20"/>
  <c r="J56" i="20"/>
  <c r="I56" i="20"/>
  <c r="H56" i="20"/>
  <c r="G56" i="20"/>
  <c r="F56" i="20"/>
  <c r="Q38" i="20"/>
  <c r="P38" i="20"/>
  <c r="O38" i="20"/>
  <c r="N38" i="20"/>
  <c r="M38" i="20"/>
  <c r="L38" i="20"/>
  <c r="K38" i="20"/>
  <c r="J38" i="20"/>
  <c r="I38" i="20"/>
  <c r="H38" i="20"/>
  <c r="G38" i="20"/>
  <c r="F38" i="20"/>
  <c r="Q34" i="20"/>
  <c r="P34" i="20"/>
  <c r="O34" i="20"/>
  <c r="N34" i="20"/>
  <c r="M34" i="20"/>
  <c r="L34" i="20"/>
  <c r="K34" i="20"/>
  <c r="J34" i="20"/>
  <c r="I34" i="20"/>
  <c r="H34" i="20"/>
  <c r="G34" i="20"/>
  <c r="F34" i="20"/>
  <c r="Q6" i="20"/>
  <c r="P6" i="20"/>
  <c r="O6" i="20"/>
  <c r="N6" i="20"/>
  <c r="M6" i="20"/>
  <c r="L6" i="20"/>
  <c r="K6" i="20"/>
  <c r="J6" i="20"/>
  <c r="I6" i="20"/>
  <c r="H6" i="20"/>
  <c r="G6" i="20"/>
  <c r="F6" i="20"/>
  <c r="Q41" i="20"/>
  <c r="P41" i="20"/>
  <c r="O41" i="20"/>
  <c r="N41" i="20"/>
  <c r="M41" i="20"/>
  <c r="L41" i="20"/>
  <c r="K41" i="20"/>
  <c r="J41" i="20"/>
  <c r="I41" i="20"/>
  <c r="H41" i="20"/>
  <c r="G41" i="20"/>
  <c r="F41" i="20"/>
  <c r="Q40" i="20"/>
  <c r="P40" i="20"/>
  <c r="O40" i="20"/>
  <c r="N40" i="20"/>
  <c r="M40" i="20"/>
  <c r="L40" i="20"/>
  <c r="K40" i="20"/>
  <c r="J40" i="20"/>
  <c r="I40" i="20"/>
  <c r="H40" i="20"/>
  <c r="G40" i="20"/>
  <c r="F40" i="20"/>
  <c r="Q82" i="20"/>
  <c r="P82" i="20"/>
  <c r="O82" i="20"/>
  <c r="N82" i="20"/>
  <c r="M82" i="20"/>
  <c r="L82" i="20"/>
  <c r="K82" i="20"/>
  <c r="J82" i="20"/>
  <c r="I82" i="20"/>
  <c r="H82" i="20"/>
  <c r="G82" i="20"/>
  <c r="F82" i="20"/>
  <c r="G5" i="19"/>
  <c r="E5" i="19"/>
  <c r="F5" i="19" s="1"/>
  <c r="AX166" i="1" l="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E10" i="11" l="1"/>
  <c r="E11"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3" i="11"/>
  <c r="E44" i="11"/>
  <c r="E45" i="11"/>
  <c r="E47" i="11"/>
  <c r="E48" i="11"/>
  <c r="E49" i="11"/>
  <c r="E50" i="11"/>
  <c r="E51" i="11"/>
  <c r="E52" i="11"/>
  <c r="E53" i="11"/>
  <c r="E54" i="11"/>
  <c r="E55" i="11"/>
  <c r="E56" i="11"/>
  <c r="E57" i="11"/>
  <c r="E9" i="11"/>
  <c r="B45" i="4" l="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2" i="1"/>
  <c r="B27" i="4"/>
  <c r="A4" i="22" l="1"/>
  <c r="B21" i="22" s="1"/>
  <c r="A4" i="4" l="1"/>
  <c r="C55" i="4"/>
  <c r="B55" i="4"/>
  <c r="B36" i="4"/>
  <c r="C17" i="4"/>
  <c r="B17" i="4"/>
  <c r="B57" i="4" l="1"/>
  <c r="C21" i="4"/>
  <c r="C25" i="4"/>
  <c r="C22" i="4"/>
  <c r="C26" i="4"/>
  <c r="C23" i="4"/>
  <c r="C20" i="4"/>
  <c r="C24" i="4"/>
  <c r="A23" i="4"/>
  <c r="A42" i="4" s="1"/>
  <c r="A20" i="4"/>
  <c r="A24" i="4"/>
  <c r="A43" i="4" s="1"/>
  <c r="A21" i="4"/>
  <c r="A40" i="4" s="1"/>
  <c r="A25" i="4"/>
  <c r="A22" i="4"/>
  <c r="A41" i="4" s="1"/>
  <c r="A26" i="4"/>
  <c r="B4" i="4"/>
  <c r="C35" i="4"/>
  <c r="C30" i="4"/>
  <c r="A34" i="4"/>
  <c r="A31" i="4"/>
  <c r="A35" i="4"/>
  <c r="C32" i="4"/>
  <c r="A32" i="4"/>
  <c r="A30" i="4"/>
  <c r="C34" i="4"/>
  <c r="A33" i="4"/>
  <c r="C31" i="4"/>
  <c r="C33" i="4"/>
  <c r="A44" i="4"/>
  <c r="A39" i="4"/>
  <c r="R6" i="19"/>
  <c r="S6" i="19"/>
  <c r="T6" i="19"/>
  <c r="U6" i="19"/>
  <c r="R7" i="19"/>
  <c r="S7" i="19"/>
  <c r="T7" i="19"/>
  <c r="U7" i="19"/>
  <c r="R8" i="19"/>
  <c r="S8" i="19"/>
  <c r="T8" i="19"/>
  <c r="U8" i="19"/>
  <c r="R9" i="19"/>
  <c r="S9" i="19"/>
  <c r="T9" i="19"/>
  <c r="U9" i="19"/>
  <c r="R10" i="19"/>
  <c r="S10" i="19"/>
  <c r="T10" i="19"/>
  <c r="U10" i="19"/>
  <c r="R11" i="19"/>
  <c r="S11" i="19"/>
  <c r="T11" i="19"/>
  <c r="U11" i="19"/>
  <c r="R12" i="19"/>
  <c r="S12" i="19"/>
  <c r="T12" i="19"/>
  <c r="U12" i="19"/>
  <c r="R13" i="19"/>
  <c r="N144" i="20" s="1"/>
  <c r="S13" i="19"/>
  <c r="O144" i="20" s="1"/>
  <c r="T13" i="19"/>
  <c r="P144" i="20" s="1"/>
  <c r="U13" i="19"/>
  <c r="Q144" i="20" s="1"/>
  <c r="R14" i="19"/>
  <c r="N90" i="20" s="1"/>
  <c r="S14" i="19"/>
  <c r="O90" i="20" s="1"/>
  <c r="T14" i="19"/>
  <c r="P90" i="20" s="1"/>
  <c r="U14" i="19"/>
  <c r="Q90" i="20" s="1"/>
  <c r="R15" i="19"/>
  <c r="N97" i="20" s="1"/>
  <c r="S15" i="19"/>
  <c r="O97" i="20" s="1"/>
  <c r="T15" i="19"/>
  <c r="P97" i="20" s="1"/>
  <c r="U15" i="19"/>
  <c r="Q97" i="20" s="1"/>
  <c r="R16" i="19"/>
  <c r="N99" i="20" s="1"/>
  <c r="S16" i="19"/>
  <c r="O99" i="20" s="1"/>
  <c r="T16" i="19"/>
  <c r="P99" i="20" s="1"/>
  <c r="U16" i="19"/>
  <c r="Q99" i="20" s="1"/>
  <c r="R17" i="19"/>
  <c r="N100" i="20" s="1"/>
  <c r="S17" i="19"/>
  <c r="O100" i="20" s="1"/>
  <c r="T17" i="19"/>
  <c r="P100" i="20" s="1"/>
  <c r="U17" i="19"/>
  <c r="Q100" i="20" s="1"/>
  <c r="R18" i="19"/>
  <c r="S18" i="19"/>
  <c r="T18" i="19"/>
  <c r="U18" i="19"/>
  <c r="R19" i="19"/>
  <c r="S19" i="19"/>
  <c r="T19" i="19"/>
  <c r="U19" i="19"/>
  <c r="R20" i="19"/>
  <c r="S20" i="19"/>
  <c r="T20" i="19"/>
  <c r="U20" i="19"/>
  <c r="R21" i="19"/>
  <c r="S21" i="19"/>
  <c r="T21" i="19"/>
  <c r="U21" i="19"/>
  <c r="R22" i="19"/>
  <c r="S22" i="19"/>
  <c r="T22" i="19"/>
  <c r="U22" i="19"/>
  <c r="R23" i="19"/>
  <c r="S23" i="19"/>
  <c r="T23" i="19"/>
  <c r="U23" i="19"/>
  <c r="R24" i="19"/>
  <c r="S24" i="19"/>
  <c r="T24" i="19"/>
  <c r="U24" i="19"/>
  <c r="R25" i="19"/>
  <c r="S25" i="19"/>
  <c r="T25" i="19"/>
  <c r="U25" i="19"/>
  <c r="R26" i="19"/>
  <c r="S26" i="19"/>
  <c r="T26" i="19"/>
  <c r="U26" i="19"/>
  <c r="R27" i="19"/>
  <c r="S27" i="19"/>
  <c r="T27" i="19"/>
  <c r="U27" i="19"/>
  <c r="R28" i="19"/>
  <c r="S28" i="19"/>
  <c r="T28" i="19"/>
  <c r="U28" i="19"/>
  <c r="R29" i="19"/>
  <c r="S29" i="19"/>
  <c r="T29" i="19"/>
  <c r="U29" i="19"/>
  <c r="R30" i="19"/>
  <c r="N49" i="20" s="1"/>
  <c r="S30" i="19"/>
  <c r="O49" i="20" s="1"/>
  <c r="T30" i="19"/>
  <c r="P49" i="20" s="1"/>
  <c r="U30" i="19"/>
  <c r="Q49" i="20" s="1"/>
  <c r="R31" i="19"/>
  <c r="N54" i="20" s="1"/>
  <c r="S31" i="19"/>
  <c r="O54" i="20" s="1"/>
  <c r="T31" i="19"/>
  <c r="P54" i="20" s="1"/>
  <c r="U31" i="19"/>
  <c r="Q54" i="20" s="1"/>
  <c r="R32" i="19"/>
  <c r="S32" i="19"/>
  <c r="T32" i="19"/>
  <c r="U32" i="19"/>
  <c r="R33" i="19"/>
  <c r="S33" i="19"/>
  <c r="T33" i="19"/>
  <c r="U33" i="19"/>
  <c r="R34" i="19"/>
  <c r="N66" i="20" s="1"/>
  <c r="S34" i="19"/>
  <c r="O66" i="20" s="1"/>
  <c r="T34" i="19"/>
  <c r="P66" i="20" s="1"/>
  <c r="U34" i="19"/>
  <c r="Q66" i="20" s="1"/>
  <c r="R35" i="19"/>
  <c r="S35" i="19"/>
  <c r="T35" i="19"/>
  <c r="U35" i="19"/>
  <c r="R36" i="19"/>
  <c r="S36" i="19"/>
  <c r="T36" i="19"/>
  <c r="U36" i="19"/>
  <c r="R37" i="19"/>
  <c r="S37" i="19"/>
  <c r="T37" i="19"/>
  <c r="U37" i="19"/>
  <c r="R38" i="19"/>
  <c r="S38" i="19"/>
  <c r="T38" i="19"/>
  <c r="U38" i="19"/>
  <c r="R39" i="19"/>
  <c r="S39" i="19"/>
  <c r="T39" i="19"/>
  <c r="U39" i="19"/>
  <c r="R40" i="19"/>
  <c r="S40" i="19"/>
  <c r="T40" i="19"/>
  <c r="U40" i="19"/>
  <c r="R41" i="19"/>
  <c r="S41" i="19"/>
  <c r="T41" i="19"/>
  <c r="U41" i="19"/>
  <c r="R42" i="19"/>
  <c r="S42" i="19"/>
  <c r="T42" i="19"/>
  <c r="U42" i="19"/>
  <c r="R43" i="19"/>
  <c r="S43" i="19"/>
  <c r="T43" i="19"/>
  <c r="U43" i="19"/>
  <c r="R44" i="19"/>
  <c r="S44" i="19"/>
  <c r="T44" i="19"/>
  <c r="U44" i="19"/>
  <c r="R45" i="19"/>
  <c r="S45" i="19"/>
  <c r="T45" i="19"/>
  <c r="U45" i="19"/>
  <c r="R46" i="19"/>
  <c r="S46" i="19"/>
  <c r="T46" i="19"/>
  <c r="U46" i="19"/>
  <c r="R47" i="19"/>
  <c r="S47" i="19"/>
  <c r="T47" i="19"/>
  <c r="U47" i="19"/>
  <c r="R48" i="19"/>
  <c r="S48" i="19"/>
  <c r="T48" i="19"/>
  <c r="U48" i="19"/>
  <c r="R49" i="19"/>
  <c r="N79" i="20" s="1"/>
  <c r="S49" i="19"/>
  <c r="O79" i="20" s="1"/>
  <c r="T49" i="19"/>
  <c r="P79" i="20" s="1"/>
  <c r="U49" i="19"/>
  <c r="Q79" i="20" s="1"/>
  <c r="R50" i="19"/>
  <c r="N80" i="20" s="1"/>
  <c r="S50" i="19"/>
  <c r="O80" i="20" s="1"/>
  <c r="T50" i="19"/>
  <c r="P80" i="20" s="1"/>
  <c r="U50" i="19"/>
  <c r="Q80" i="20" s="1"/>
  <c r="R51" i="19"/>
  <c r="S51" i="19"/>
  <c r="T51" i="19"/>
  <c r="U51" i="19"/>
  <c r="R52" i="19"/>
  <c r="S52" i="19"/>
  <c r="T52" i="19"/>
  <c r="U52" i="19"/>
  <c r="R53" i="19"/>
  <c r="S53" i="19"/>
  <c r="T53" i="19"/>
  <c r="U53" i="19"/>
  <c r="R54" i="19"/>
  <c r="S54" i="19"/>
  <c r="T54" i="19"/>
  <c r="U54" i="19"/>
  <c r="R55" i="19"/>
  <c r="S55" i="19"/>
  <c r="T55" i="19"/>
  <c r="U55" i="19"/>
  <c r="R56" i="19"/>
  <c r="S56" i="19"/>
  <c r="T56" i="19"/>
  <c r="U56" i="19"/>
  <c r="R57" i="19"/>
  <c r="S57" i="19"/>
  <c r="T57" i="19"/>
  <c r="U57" i="19"/>
  <c r="R58" i="19"/>
  <c r="S58" i="19"/>
  <c r="T58" i="19"/>
  <c r="U58" i="19"/>
  <c r="R59" i="19"/>
  <c r="S59" i="19"/>
  <c r="T59" i="19"/>
  <c r="U59" i="19"/>
  <c r="R60" i="19"/>
  <c r="S60" i="19"/>
  <c r="T60" i="19"/>
  <c r="U60" i="19"/>
  <c r="R61" i="19"/>
  <c r="S61" i="19"/>
  <c r="T61" i="19"/>
  <c r="U61" i="19"/>
  <c r="R62" i="19"/>
  <c r="S62" i="19"/>
  <c r="T62" i="19"/>
  <c r="U62" i="19"/>
  <c r="R63" i="19"/>
  <c r="S63" i="19"/>
  <c r="T63" i="19"/>
  <c r="U63" i="19"/>
  <c r="R64" i="19"/>
  <c r="S64" i="19"/>
  <c r="T64" i="19"/>
  <c r="U64" i="19"/>
  <c r="R65" i="19"/>
  <c r="S65" i="19"/>
  <c r="T65" i="19"/>
  <c r="U65" i="19"/>
  <c r="R66" i="19"/>
  <c r="S66" i="19"/>
  <c r="T66" i="19"/>
  <c r="U66" i="19"/>
  <c r="R67" i="19"/>
  <c r="S67" i="19"/>
  <c r="T67" i="19"/>
  <c r="U67" i="19"/>
  <c r="R68" i="19"/>
  <c r="S68" i="19"/>
  <c r="T68" i="19"/>
  <c r="U68" i="19"/>
  <c r="R69" i="19"/>
  <c r="S69" i="19"/>
  <c r="T69" i="19"/>
  <c r="U69" i="19"/>
  <c r="R70" i="19"/>
  <c r="N26" i="20" s="1"/>
  <c r="S70" i="19"/>
  <c r="O26" i="20" s="1"/>
  <c r="T70" i="19"/>
  <c r="P26" i="20" s="1"/>
  <c r="U70" i="19"/>
  <c r="Q26" i="20" s="1"/>
  <c r="R71" i="19"/>
  <c r="S71" i="19"/>
  <c r="T71" i="19"/>
  <c r="U71" i="19"/>
  <c r="R72" i="19"/>
  <c r="S72" i="19"/>
  <c r="T72" i="19"/>
  <c r="U72" i="19"/>
  <c r="R73" i="19"/>
  <c r="S73" i="19"/>
  <c r="T73" i="19"/>
  <c r="U73" i="19"/>
  <c r="R74" i="19"/>
  <c r="S74" i="19"/>
  <c r="T74" i="19"/>
  <c r="U74" i="19"/>
  <c r="R75" i="19"/>
  <c r="S75" i="19"/>
  <c r="T75" i="19"/>
  <c r="U75" i="19"/>
  <c r="R76" i="19"/>
  <c r="S76" i="19"/>
  <c r="T76" i="19"/>
  <c r="U76" i="19"/>
  <c r="R77" i="19"/>
  <c r="N24" i="20" s="1"/>
  <c r="S77" i="19"/>
  <c r="O24" i="20" s="1"/>
  <c r="T77" i="19"/>
  <c r="P24" i="20" s="1"/>
  <c r="U77" i="19"/>
  <c r="Q24" i="20" s="1"/>
  <c r="R78" i="19"/>
  <c r="N142" i="20" s="1"/>
  <c r="S78" i="19"/>
  <c r="O142" i="20" s="1"/>
  <c r="T78" i="19"/>
  <c r="P142" i="20" s="1"/>
  <c r="U78" i="19"/>
  <c r="Q142" i="20" s="1"/>
  <c r="R79" i="19"/>
  <c r="S79" i="19"/>
  <c r="T79" i="19"/>
  <c r="U79" i="19"/>
  <c r="R80" i="19"/>
  <c r="S80" i="19"/>
  <c r="T80" i="19"/>
  <c r="U80" i="19"/>
  <c r="R81" i="19"/>
  <c r="S81" i="19"/>
  <c r="T81" i="19"/>
  <c r="U81" i="19"/>
  <c r="R82" i="19"/>
  <c r="N149" i="20" s="1"/>
  <c r="S82" i="19"/>
  <c r="O149" i="20" s="1"/>
  <c r="T82" i="19"/>
  <c r="P149" i="20" s="1"/>
  <c r="U82" i="19"/>
  <c r="Q149" i="20" s="1"/>
  <c r="R83" i="19"/>
  <c r="S83" i="19"/>
  <c r="T83" i="19"/>
  <c r="U83" i="19"/>
  <c r="R84" i="19"/>
  <c r="S84" i="19"/>
  <c r="T84" i="19"/>
  <c r="U84" i="19"/>
  <c r="R85" i="19"/>
  <c r="S85" i="19"/>
  <c r="T85" i="19"/>
  <c r="U85" i="19"/>
  <c r="R86" i="19"/>
  <c r="S86" i="19"/>
  <c r="T86" i="19"/>
  <c r="U86" i="19"/>
  <c r="R87" i="19"/>
  <c r="S87" i="19"/>
  <c r="T87" i="19"/>
  <c r="U87" i="19"/>
  <c r="R88" i="19"/>
  <c r="S88" i="19"/>
  <c r="T88" i="19"/>
  <c r="U88" i="19"/>
  <c r="R89" i="19"/>
  <c r="S89" i="19"/>
  <c r="T89" i="19"/>
  <c r="U89" i="19"/>
  <c r="R90" i="19"/>
  <c r="S90" i="19"/>
  <c r="T90" i="19"/>
  <c r="U90" i="19"/>
  <c r="R91" i="19"/>
  <c r="S91" i="19"/>
  <c r="T91" i="19"/>
  <c r="U91" i="19"/>
  <c r="R92" i="19"/>
  <c r="S92" i="19"/>
  <c r="T92" i="19"/>
  <c r="U92" i="19"/>
  <c r="R93" i="19"/>
  <c r="S93" i="19"/>
  <c r="T93" i="19"/>
  <c r="U93" i="19"/>
  <c r="R94" i="19"/>
  <c r="S94" i="19"/>
  <c r="T94" i="19"/>
  <c r="U94" i="19"/>
  <c r="R95" i="19"/>
  <c r="S95" i="19"/>
  <c r="T95" i="19"/>
  <c r="U95" i="19"/>
  <c r="R96" i="19"/>
  <c r="S96" i="19"/>
  <c r="T96" i="19"/>
  <c r="U96" i="19"/>
  <c r="R97" i="19"/>
  <c r="S97" i="19"/>
  <c r="T97" i="19"/>
  <c r="U97" i="19"/>
  <c r="R98" i="19"/>
  <c r="N139" i="20" s="1"/>
  <c r="S98" i="19"/>
  <c r="O139" i="20" s="1"/>
  <c r="T98" i="19"/>
  <c r="P139" i="20" s="1"/>
  <c r="U98" i="19"/>
  <c r="Q139" i="20" s="1"/>
  <c r="R99" i="19"/>
  <c r="S99" i="19"/>
  <c r="T99" i="19"/>
  <c r="U99" i="19"/>
  <c r="R100" i="19"/>
  <c r="S100" i="19"/>
  <c r="T100" i="19"/>
  <c r="U100" i="19"/>
  <c r="R101" i="19"/>
  <c r="N127" i="20" s="1"/>
  <c r="S101" i="19"/>
  <c r="O127" i="20" s="1"/>
  <c r="T101" i="19"/>
  <c r="P127" i="20" s="1"/>
  <c r="U101" i="19"/>
  <c r="Q127" i="20" s="1"/>
  <c r="R102" i="19"/>
  <c r="S102" i="19"/>
  <c r="T102" i="19"/>
  <c r="U102" i="19"/>
  <c r="R103" i="19"/>
  <c r="S103" i="19"/>
  <c r="T103" i="19"/>
  <c r="U103" i="19"/>
  <c r="R104" i="19"/>
  <c r="S104" i="19"/>
  <c r="T104" i="19"/>
  <c r="U104" i="19"/>
  <c r="R105" i="19"/>
  <c r="S105" i="19"/>
  <c r="T105" i="19"/>
  <c r="U105" i="19"/>
  <c r="R106" i="19"/>
  <c r="S106" i="19"/>
  <c r="T106" i="19"/>
  <c r="U106" i="19"/>
  <c r="R107" i="19"/>
  <c r="S107" i="19"/>
  <c r="T107" i="19"/>
  <c r="U107" i="19"/>
  <c r="R108" i="19"/>
  <c r="S108" i="19"/>
  <c r="T108" i="19"/>
  <c r="U108" i="19"/>
  <c r="R109" i="19"/>
  <c r="S109" i="19"/>
  <c r="T109" i="19"/>
  <c r="U109" i="19"/>
  <c r="R110" i="19"/>
  <c r="S110" i="19"/>
  <c r="T110" i="19"/>
  <c r="U110" i="19"/>
  <c r="R111" i="19"/>
  <c r="S111" i="19"/>
  <c r="T111" i="19"/>
  <c r="U111" i="19"/>
  <c r="R112" i="19"/>
  <c r="S112" i="19"/>
  <c r="T112" i="19"/>
  <c r="U112" i="19"/>
  <c r="R113" i="19"/>
  <c r="S113" i="19"/>
  <c r="T113" i="19"/>
  <c r="U113" i="19"/>
  <c r="R114" i="19"/>
  <c r="S114" i="19"/>
  <c r="T114" i="19"/>
  <c r="U114" i="19"/>
  <c r="R115" i="19"/>
  <c r="N19" i="20" s="1"/>
  <c r="S115" i="19"/>
  <c r="O19" i="20" s="1"/>
  <c r="T115" i="19"/>
  <c r="P19" i="20" s="1"/>
  <c r="U115" i="19"/>
  <c r="Q19" i="20" s="1"/>
  <c r="R116" i="19"/>
  <c r="S116" i="19"/>
  <c r="T116" i="19"/>
  <c r="U116" i="19"/>
  <c r="R117" i="19"/>
  <c r="S117" i="19"/>
  <c r="T117" i="19"/>
  <c r="U117" i="19"/>
  <c r="R118" i="19"/>
  <c r="S118" i="19"/>
  <c r="T118" i="19"/>
  <c r="U118" i="19"/>
  <c r="R119" i="19"/>
  <c r="S119" i="19"/>
  <c r="T119" i="19"/>
  <c r="U119" i="19"/>
  <c r="R120" i="19"/>
  <c r="S120" i="19"/>
  <c r="T120" i="19"/>
  <c r="U120" i="19"/>
  <c r="R121" i="19"/>
  <c r="S121" i="19"/>
  <c r="T121" i="19"/>
  <c r="U121" i="19"/>
  <c r="R122" i="19"/>
  <c r="S122" i="19"/>
  <c r="T122" i="19"/>
  <c r="U122" i="19"/>
  <c r="R123" i="19"/>
  <c r="S123" i="19"/>
  <c r="T123" i="19"/>
  <c r="U123" i="19"/>
  <c r="R124" i="19"/>
  <c r="N84" i="20" s="1"/>
  <c r="S124" i="19"/>
  <c r="O84" i="20" s="1"/>
  <c r="T124" i="19"/>
  <c r="P84" i="20" s="1"/>
  <c r="U124" i="19"/>
  <c r="Q84" i="20" s="1"/>
  <c r="R125" i="19"/>
  <c r="N70" i="20" s="1"/>
  <c r="S125" i="19"/>
  <c r="O70" i="20" s="1"/>
  <c r="T125" i="19"/>
  <c r="P70" i="20" s="1"/>
  <c r="U125" i="19"/>
  <c r="Q70" i="20" s="1"/>
  <c r="R126" i="19"/>
  <c r="S126" i="19"/>
  <c r="T126" i="19"/>
  <c r="U126" i="19"/>
  <c r="R127" i="19"/>
  <c r="N71" i="20" s="1"/>
  <c r="S127" i="19"/>
  <c r="O71" i="20" s="1"/>
  <c r="T127" i="19"/>
  <c r="P71" i="20" s="1"/>
  <c r="U127" i="19"/>
  <c r="Q71" i="20" s="1"/>
  <c r="R128" i="19"/>
  <c r="S128" i="19"/>
  <c r="T128" i="19"/>
  <c r="U128" i="19"/>
  <c r="R129" i="19"/>
  <c r="N72" i="20" s="1"/>
  <c r="S129" i="19"/>
  <c r="O72" i="20" s="1"/>
  <c r="T129" i="19"/>
  <c r="P72" i="20" s="1"/>
  <c r="U129" i="19"/>
  <c r="Q72" i="20" s="1"/>
  <c r="R130" i="19"/>
  <c r="S130" i="19"/>
  <c r="T130" i="19"/>
  <c r="U130" i="19"/>
  <c r="R131" i="19"/>
  <c r="S131" i="19"/>
  <c r="T131" i="19"/>
  <c r="U131" i="19"/>
  <c r="R132" i="19"/>
  <c r="S132" i="19"/>
  <c r="T132" i="19"/>
  <c r="U132" i="19"/>
  <c r="R133" i="19"/>
  <c r="S133" i="19"/>
  <c r="T133" i="19"/>
  <c r="U133" i="19"/>
  <c r="R134" i="19"/>
  <c r="S134" i="19"/>
  <c r="T134" i="19"/>
  <c r="U134" i="19"/>
  <c r="R135" i="19"/>
  <c r="S135" i="19"/>
  <c r="T135" i="19"/>
  <c r="U135" i="19"/>
  <c r="R136" i="19"/>
  <c r="S136" i="19"/>
  <c r="T136" i="19"/>
  <c r="U136" i="19"/>
  <c r="R137" i="19"/>
  <c r="S137" i="19"/>
  <c r="T137" i="19"/>
  <c r="U137" i="19"/>
  <c r="R138" i="19"/>
  <c r="S138" i="19"/>
  <c r="T138" i="19"/>
  <c r="U138" i="19"/>
  <c r="R139" i="19"/>
  <c r="S139" i="19"/>
  <c r="T139" i="19"/>
  <c r="U139" i="19"/>
  <c r="R140" i="19"/>
  <c r="S140" i="19"/>
  <c r="T140" i="19"/>
  <c r="U140" i="19"/>
  <c r="R141" i="19"/>
  <c r="S141" i="19"/>
  <c r="T141" i="19"/>
  <c r="U141" i="19"/>
  <c r="R142" i="19"/>
  <c r="S142" i="19"/>
  <c r="T142" i="19"/>
  <c r="U142" i="19"/>
  <c r="R143" i="19"/>
  <c r="S143" i="19"/>
  <c r="T143" i="19"/>
  <c r="U143" i="19"/>
  <c r="R144" i="19"/>
  <c r="S144" i="19"/>
  <c r="T144" i="19"/>
  <c r="U144" i="19"/>
  <c r="R145" i="19"/>
  <c r="S145" i="19"/>
  <c r="T145" i="19"/>
  <c r="U145" i="19"/>
  <c r="R146" i="19"/>
  <c r="N74" i="20" s="1"/>
  <c r="S146" i="19"/>
  <c r="O74" i="20" s="1"/>
  <c r="T146" i="19"/>
  <c r="P74" i="20" s="1"/>
  <c r="U146" i="19"/>
  <c r="Q74" i="20" s="1"/>
  <c r="R147" i="19"/>
  <c r="S147" i="19"/>
  <c r="T147" i="19"/>
  <c r="U147" i="19"/>
  <c r="R148" i="19"/>
  <c r="S148" i="19"/>
  <c r="T148" i="19"/>
  <c r="U148" i="19"/>
  <c r="R149" i="19"/>
  <c r="S149" i="19"/>
  <c r="T149" i="19"/>
  <c r="U149" i="19"/>
  <c r="R150" i="19"/>
  <c r="S150" i="19"/>
  <c r="T150" i="19"/>
  <c r="U150" i="19"/>
  <c r="R151" i="19"/>
  <c r="S151" i="19"/>
  <c r="T151" i="19"/>
  <c r="U151" i="19"/>
  <c r="R152" i="19"/>
  <c r="S152" i="19"/>
  <c r="T152" i="19"/>
  <c r="U152" i="19"/>
  <c r="R153" i="19"/>
  <c r="S153" i="19"/>
  <c r="T153" i="19"/>
  <c r="U153" i="19"/>
  <c r="R154" i="19"/>
  <c r="S154" i="19"/>
  <c r="T154" i="19"/>
  <c r="U154" i="19"/>
  <c r="R155" i="19"/>
  <c r="S155" i="19"/>
  <c r="T155" i="19"/>
  <c r="U155" i="19"/>
  <c r="R156" i="19"/>
  <c r="S156" i="19"/>
  <c r="T156" i="19"/>
  <c r="U156" i="19"/>
  <c r="R157" i="19"/>
  <c r="S157" i="19"/>
  <c r="T157" i="19"/>
  <c r="U157" i="19"/>
  <c r="R158" i="19"/>
  <c r="S158" i="19"/>
  <c r="T158" i="19"/>
  <c r="U158" i="19"/>
  <c r="R159" i="19"/>
  <c r="S159" i="19"/>
  <c r="T159" i="19"/>
  <c r="U159" i="19"/>
  <c r="R160" i="19"/>
  <c r="N122" i="20" s="1"/>
  <c r="S160" i="19"/>
  <c r="O122" i="20" s="1"/>
  <c r="T160" i="19"/>
  <c r="P122" i="20" s="1"/>
  <c r="U160" i="19"/>
  <c r="Q122" i="20" s="1"/>
  <c r="R161" i="19"/>
  <c r="S161" i="19"/>
  <c r="T161" i="19"/>
  <c r="U161" i="19"/>
  <c r="R162" i="19"/>
  <c r="S162" i="19"/>
  <c r="T162" i="19"/>
  <c r="U162" i="19"/>
  <c r="R163" i="19"/>
  <c r="S163" i="19"/>
  <c r="T163" i="19"/>
  <c r="U163" i="19"/>
  <c r="R164" i="19"/>
  <c r="N21" i="20" s="1"/>
  <c r="S164" i="19"/>
  <c r="O21" i="20" s="1"/>
  <c r="T164" i="19"/>
  <c r="P21" i="20" s="1"/>
  <c r="U164" i="19"/>
  <c r="Q21" i="20" s="1"/>
  <c r="R165" i="19"/>
  <c r="N22" i="20" s="1"/>
  <c r="S165" i="19"/>
  <c r="O22" i="20" s="1"/>
  <c r="T165" i="19"/>
  <c r="P22" i="20" s="1"/>
  <c r="U165" i="19"/>
  <c r="Q22" i="20" s="1"/>
  <c r="R166" i="19"/>
  <c r="N23" i="20" s="1"/>
  <c r="S166" i="19"/>
  <c r="O23" i="20" s="1"/>
  <c r="T166" i="19"/>
  <c r="P23" i="20" s="1"/>
  <c r="U166" i="19"/>
  <c r="Q23" i="20" s="1"/>
  <c r="R167" i="19"/>
  <c r="S167" i="19"/>
  <c r="T167" i="19"/>
  <c r="U167" i="19"/>
  <c r="R168" i="19"/>
  <c r="S168" i="19"/>
  <c r="T168" i="19"/>
  <c r="U168" i="19"/>
  <c r="R169" i="19"/>
  <c r="S169" i="19"/>
  <c r="T169" i="19"/>
  <c r="U169" i="19"/>
  <c r="R170" i="19"/>
  <c r="N146" i="20" s="1"/>
  <c r="S170" i="19"/>
  <c r="O146" i="20" s="1"/>
  <c r="T170" i="19"/>
  <c r="P146" i="20" s="1"/>
  <c r="U170" i="19"/>
  <c r="Q146" i="20" s="1"/>
  <c r="R171" i="19"/>
  <c r="S171" i="19"/>
  <c r="T171" i="19"/>
  <c r="U171" i="19"/>
  <c r="R172" i="19"/>
  <c r="S172" i="19"/>
  <c r="T172" i="19"/>
  <c r="U172" i="19"/>
  <c r="R173" i="19"/>
  <c r="S173" i="19"/>
  <c r="T173" i="19"/>
  <c r="U173" i="19"/>
  <c r="R174" i="19"/>
  <c r="S174" i="19"/>
  <c r="T174" i="19"/>
  <c r="U174" i="19"/>
  <c r="R175" i="19"/>
  <c r="S175" i="19"/>
  <c r="T175" i="19"/>
  <c r="U175" i="19"/>
  <c r="R176" i="19"/>
  <c r="S176" i="19"/>
  <c r="T176" i="19"/>
  <c r="U176" i="19"/>
  <c r="R177" i="19"/>
  <c r="S177" i="19"/>
  <c r="T177" i="19"/>
  <c r="U177" i="19"/>
  <c r="R178" i="19"/>
  <c r="S178" i="19"/>
  <c r="T178" i="19"/>
  <c r="U178" i="19"/>
  <c r="R179" i="19"/>
  <c r="S179" i="19"/>
  <c r="T179" i="19"/>
  <c r="U179" i="19"/>
  <c r="R180" i="19"/>
  <c r="N102" i="20" s="1"/>
  <c r="S180" i="19"/>
  <c r="O102" i="20" s="1"/>
  <c r="T180" i="19"/>
  <c r="P102" i="20" s="1"/>
  <c r="U180" i="19"/>
  <c r="Q102" i="20" s="1"/>
  <c r="R181" i="19"/>
  <c r="S181" i="19"/>
  <c r="T181" i="19"/>
  <c r="U181" i="19"/>
  <c r="R182" i="19"/>
  <c r="S182" i="19"/>
  <c r="T182" i="19"/>
  <c r="U182" i="19"/>
  <c r="R183" i="19"/>
  <c r="S183" i="19"/>
  <c r="T183" i="19"/>
  <c r="U183" i="19"/>
  <c r="R184" i="19"/>
  <c r="S184" i="19"/>
  <c r="T184" i="19"/>
  <c r="U184" i="19"/>
  <c r="R185" i="19"/>
  <c r="N83" i="20" s="1"/>
  <c r="S185" i="19"/>
  <c r="O83" i="20" s="1"/>
  <c r="T185" i="19"/>
  <c r="P83" i="20" s="1"/>
  <c r="U185" i="19"/>
  <c r="Q83" i="20" s="1"/>
  <c r="R186" i="19"/>
  <c r="S186" i="19"/>
  <c r="T186" i="19"/>
  <c r="U186" i="19"/>
  <c r="R187" i="19"/>
  <c r="S187" i="19"/>
  <c r="T187" i="19"/>
  <c r="U187" i="19"/>
  <c r="R188" i="19"/>
  <c r="N55" i="20" s="1"/>
  <c r="S188" i="19"/>
  <c r="O55" i="20" s="1"/>
  <c r="T188" i="19"/>
  <c r="P55" i="20" s="1"/>
  <c r="U188" i="19"/>
  <c r="Q55" i="20" s="1"/>
  <c r="R189" i="19"/>
  <c r="S189" i="19"/>
  <c r="T189" i="19"/>
  <c r="U189" i="19"/>
  <c r="R190" i="19"/>
  <c r="S190" i="19"/>
  <c r="T190" i="19"/>
  <c r="U190" i="19"/>
  <c r="R191" i="19"/>
  <c r="S191" i="19"/>
  <c r="T191" i="19"/>
  <c r="U191" i="19"/>
  <c r="R192" i="19"/>
  <c r="S192" i="19"/>
  <c r="T192" i="19"/>
  <c r="U192" i="19"/>
  <c r="R193" i="19"/>
  <c r="S193" i="19"/>
  <c r="T193" i="19"/>
  <c r="U193" i="19"/>
  <c r="R194" i="19"/>
  <c r="S194" i="19"/>
  <c r="T194" i="19"/>
  <c r="U194" i="19"/>
  <c r="R195" i="19"/>
  <c r="S195" i="19"/>
  <c r="T195" i="19"/>
  <c r="U195" i="19"/>
  <c r="R196" i="19"/>
  <c r="N118" i="20" s="1"/>
  <c r="S196" i="19"/>
  <c r="O118" i="20" s="1"/>
  <c r="T196" i="19"/>
  <c r="P118" i="20" s="1"/>
  <c r="U196" i="19"/>
  <c r="Q118" i="20" s="1"/>
  <c r="R197" i="19"/>
  <c r="S197" i="19"/>
  <c r="T197" i="19"/>
  <c r="U197" i="19"/>
  <c r="R198" i="19"/>
  <c r="N121" i="20" s="1"/>
  <c r="S198" i="19"/>
  <c r="O121" i="20" s="1"/>
  <c r="T198" i="19"/>
  <c r="P121" i="20" s="1"/>
  <c r="U198" i="19"/>
  <c r="Q121" i="20" s="1"/>
  <c r="R199" i="19"/>
  <c r="N33" i="20" s="1"/>
  <c r="S199" i="19"/>
  <c r="O33" i="20" s="1"/>
  <c r="T199" i="19"/>
  <c r="P33" i="20" s="1"/>
  <c r="U199" i="19"/>
  <c r="Q33" i="20" s="1"/>
  <c r="R200" i="19"/>
  <c r="S200" i="19"/>
  <c r="T200" i="19"/>
  <c r="U200" i="19"/>
  <c r="R201" i="19"/>
  <c r="S201" i="19"/>
  <c r="T201" i="19"/>
  <c r="U201" i="19"/>
  <c r="R202" i="19"/>
  <c r="N37" i="20" s="1"/>
  <c r="S202" i="19"/>
  <c r="O37" i="20" s="1"/>
  <c r="T202" i="19"/>
  <c r="P37" i="20" s="1"/>
  <c r="U202" i="19"/>
  <c r="Q37" i="20" s="1"/>
  <c r="R203" i="19"/>
  <c r="S203" i="19"/>
  <c r="T203" i="19"/>
  <c r="U203" i="19"/>
  <c r="R204" i="19"/>
  <c r="S204" i="19"/>
  <c r="T204" i="19"/>
  <c r="U204" i="19"/>
  <c r="R205" i="19"/>
  <c r="S205" i="19"/>
  <c r="T205" i="19"/>
  <c r="U205" i="19"/>
  <c r="R206" i="19"/>
  <c r="S206" i="19"/>
  <c r="T206" i="19"/>
  <c r="U206" i="19"/>
  <c r="R207" i="19"/>
  <c r="S207" i="19"/>
  <c r="T207" i="19"/>
  <c r="U207" i="19"/>
  <c r="R208" i="19"/>
  <c r="N137" i="20" s="1"/>
  <c r="S208" i="19"/>
  <c r="O137" i="20" s="1"/>
  <c r="T208" i="19"/>
  <c r="P137" i="20" s="1"/>
  <c r="U208" i="19"/>
  <c r="Q137" i="20" s="1"/>
  <c r="R209" i="19"/>
  <c r="S209" i="19"/>
  <c r="T209" i="19"/>
  <c r="U209" i="19"/>
  <c r="R210" i="19"/>
  <c r="S210" i="19"/>
  <c r="T210" i="19"/>
  <c r="U210" i="19"/>
  <c r="R211" i="19"/>
  <c r="S211" i="19"/>
  <c r="T211" i="19"/>
  <c r="U211" i="19"/>
  <c r="R212" i="19"/>
  <c r="S212" i="19"/>
  <c r="T212" i="19"/>
  <c r="U212" i="19"/>
  <c r="R213" i="19"/>
  <c r="S213" i="19"/>
  <c r="T213" i="19"/>
  <c r="U213" i="19"/>
  <c r="R214" i="19"/>
  <c r="S214" i="19"/>
  <c r="T214" i="19"/>
  <c r="U214" i="19"/>
  <c r="R215" i="19"/>
  <c r="N150" i="20" s="1"/>
  <c r="S215" i="19"/>
  <c r="O150" i="20" s="1"/>
  <c r="T215" i="19"/>
  <c r="P150" i="20" s="1"/>
  <c r="U215" i="19"/>
  <c r="Q150" i="20" s="1"/>
  <c r="R216" i="19"/>
  <c r="N132" i="20" s="1"/>
  <c r="S216" i="19"/>
  <c r="O132" i="20" s="1"/>
  <c r="T216" i="19"/>
  <c r="P132" i="20" s="1"/>
  <c r="U216" i="19"/>
  <c r="Q132" i="20" s="1"/>
  <c r="R217" i="19"/>
  <c r="N151" i="20" s="1"/>
  <c r="S217" i="19"/>
  <c r="O151" i="20" s="1"/>
  <c r="T217" i="19"/>
  <c r="P151" i="20" s="1"/>
  <c r="U217" i="19"/>
  <c r="Q151" i="20" s="1"/>
  <c r="R218" i="19"/>
  <c r="S218" i="19"/>
  <c r="T218" i="19"/>
  <c r="U218" i="19"/>
  <c r="R219" i="19"/>
  <c r="S219" i="19"/>
  <c r="T219" i="19"/>
  <c r="U219" i="19"/>
  <c r="R220" i="19"/>
  <c r="S220" i="19"/>
  <c r="T220" i="19"/>
  <c r="U220" i="19"/>
  <c r="R221" i="19"/>
  <c r="S221" i="19"/>
  <c r="T221" i="19"/>
  <c r="U221" i="19"/>
  <c r="R222" i="19"/>
  <c r="S222" i="19"/>
  <c r="T222" i="19"/>
  <c r="U222" i="19"/>
  <c r="R223" i="19"/>
  <c r="S223" i="19"/>
  <c r="T223" i="19"/>
  <c r="U223" i="19"/>
  <c r="R224" i="19"/>
  <c r="S224" i="19"/>
  <c r="T224" i="19"/>
  <c r="U224" i="19"/>
  <c r="R225" i="19"/>
  <c r="N64" i="20" s="1"/>
  <c r="S225" i="19"/>
  <c r="O64" i="20" s="1"/>
  <c r="T225" i="19"/>
  <c r="P64" i="20" s="1"/>
  <c r="U225" i="19"/>
  <c r="Q64" i="20" s="1"/>
  <c r="R226" i="19"/>
  <c r="S226" i="19"/>
  <c r="T226" i="19"/>
  <c r="U226" i="19"/>
  <c r="R227" i="19"/>
  <c r="N9" i="20" s="1"/>
  <c r="S227" i="19"/>
  <c r="O9" i="20" s="1"/>
  <c r="T227" i="19"/>
  <c r="P9" i="20" s="1"/>
  <c r="U227" i="19"/>
  <c r="Q9" i="20" s="1"/>
  <c r="R228" i="19"/>
  <c r="S228" i="19"/>
  <c r="T228" i="19"/>
  <c r="U228" i="19"/>
  <c r="R229" i="19"/>
  <c r="N11" i="20" s="1"/>
  <c r="S229" i="19"/>
  <c r="O11" i="20" s="1"/>
  <c r="T229" i="19"/>
  <c r="P11" i="20" s="1"/>
  <c r="U229" i="19"/>
  <c r="Q11" i="20" s="1"/>
  <c r="R230" i="19"/>
  <c r="S230" i="19"/>
  <c r="T230" i="19"/>
  <c r="U230" i="19"/>
  <c r="R231" i="19"/>
  <c r="S231" i="19"/>
  <c r="T231" i="19"/>
  <c r="U231" i="19"/>
  <c r="R232" i="19"/>
  <c r="N39" i="20" s="1"/>
  <c r="S232" i="19"/>
  <c r="O39" i="20" s="1"/>
  <c r="T232" i="19"/>
  <c r="P39" i="20" s="1"/>
  <c r="U232" i="19"/>
  <c r="Q39" i="20" s="1"/>
  <c r="R233" i="19"/>
  <c r="S233" i="19"/>
  <c r="T233" i="19"/>
  <c r="U233" i="19"/>
  <c r="R234" i="19"/>
  <c r="S234" i="19"/>
  <c r="T234" i="19"/>
  <c r="U234" i="19"/>
  <c r="R235" i="19"/>
  <c r="S235" i="19"/>
  <c r="T235" i="19"/>
  <c r="U235" i="19"/>
  <c r="R236" i="19"/>
  <c r="S236" i="19"/>
  <c r="T236" i="19"/>
  <c r="U236" i="19"/>
  <c r="R237" i="19"/>
  <c r="S237" i="19"/>
  <c r="T237" i="19"/>
  <c r="U237" i="19"/>
  <c r="R238" i="19"/>
  <c r="N108" i="20" s="1"/>
  <c r="S238" i="19"/>
  <c r="O108" i="20" s="1"/>
  <c r="T238" i="19"/>
  <c r="P108" i="20" s="1"/>
  <c r="U238" i="19"/>
  <c r="Q108" i="20" s="1"/>
  <c r="R239" i="19"/>
  <c r="S239" i="19"/>
  <c r="T239" i="19"/>
  <c r="U239" i="19"/>
  <c r="R240" i="19"/>
  <c r="S240" i="19"/>
  <c r="T240" i="19"/>
  <c r="U240" i="19"/>
  <c r="R241" i="19"/>
  <c r="S241" i="19"/>
  <c r="T241" i="19"/>
  <c r="U241" i="19"/>
  <c r="R242" i="19"/>
  <c r="S242" i="19"/>
  <c r="T242" i="19"/>
  <c r="U242" i="19"/>
  <c r="R243" i="19"/>
  <c r="S243" i="19"/>
  <c r="T243" i="19"/>
  <c r="U243" i="19"/>
  <c r="R244" i="19"/>
  <c r="S244" i="19"/>
  <c r="T244" i="19"/>
  <c r="U244" i="19"/>
  <c r="R245" i="19"/>
  <c r="S245" i="19"/>
  <c r="T245" i="19"/>
  <c r="U245" i="19"/>
  <c r="U5" i="19"/>
  <c r="Q50" i="20" s="1"/>
  <c r="T5" i="19"/>
  <c r="S5" i="19"/>
  <c r="O50" i="20" s="1"/>
  <c r="R5" i="19"/>
  <c r="G216" i="18"/>
  <c r="H216" i="18"/>
  <c r="I216" i="18"/>
  <c r="P50" i="20" l="1"/>
  <c r="C27" i="4"/>
  <c r="R871" i="19"/>
  <c r="N50" i="20"/>
  <c r="Q14" i="20"/>
  <c r="P14" i="20"/>
  <c r="O14" i="20"/>
  <c r="N14" i="20"/>
  <c r="Q10" i="20"/>
  <c r="P10" i="20"/>
  <c r="O10" i="20"/>
  <c r="N10" i="20"/>
  <c r="Q107" i="20"/>
  <c r="P107" i="20"/>
  <c r="O107" i="20"/>
  <c r="N107" i="20"/>
  <c r="Q116" i="20"/>
  <c r="P116" i="20"/>
  <c r="O116" i="20"/>
  <c r="N116" i="20"/>
  <c r="Q101" i="20"/>
  <c r="P101" i="20"/>
  <c r="O101" i="20"/>
  <c r="N101" i="20"/>
  <c r="Q120" i="20"/>
  <c r="P120" i="20"/>
  <c r="O120" i="20"/>
  <c r="N120" i="20"/>
  <c r="Q98" i="20"/>
  <c r="P98" i="20"/>
  <c r="O98" i="20"/>
  <c r="N98" i="20"/>
  <c r="Q95" i="20"/>
  <c r="P95" i="20"/>
  <c r="O95" i="20"/>
  <c r="N95" i="20"/>
  <c r="Q93" i="20"/>
  <c r="P93" i="20"/>
  <c r="O93" i="20"/>
  <c r="N93" i="20"/>
  <c r="Q85" i="20"/>
  <c r="P85" i="20"/>
  <c r="O85" i="20"/>
  <c r="N85" i="20"/>
  <c r="Q17" i="20"/>
  <c r="P17" i="20"/>
  <c r="O17" i="20"/>
  <c r="N17" i="20"/>
  <c r="Q117" i="20"/>
  <c r="P117" i="20"/>
  <c r="O117" i="20"/>
  <c r="N117" i="20"/>
  <c r="Q113" i="20"/>
  <c r="P113" i="20"/>
  <c r="O113" i="20"/>
  <c r="N113" i="20"/>
  <c r="Q141" i="20"/>
  <c r="P141" i="20"/>
  <c r="O141" i="20"/>
  <c r="N141" i="20"/>
  <c r="Q138" i="20"/>
  <c r="P138" i="20"/>
  <c r="O138" i="20"/>
  <c r="N138" i="20"/>
  <c r="Q110" i="20"/>
  <c r="P110" i="20"/>
  <c r="O110" i="20"/>
  <c r="N110" i="20"/>
  <c r="Q109" i="20"/>
  <c r="P109" i="20"/>
  <c r="O109" i="20"/>
  <c r="N109" i="20"/>
  <c r="Q105" i="20"/>
  <c r="P105" i="20"/>
  <c r="O105" i="20"/>
  <c r="N105" i="20"/>
  <c r="Q104" i="20"/>
  <c r="P104" i="20"/>
  <c r="O104" i="20"/>
  <c r="N104" i="20"/>
  <c r="Q51" i="20"/>
  <c r="P51" i="20"/>
  <c r="O51" i="20"/>
  <c r="N51" i="20"/>
  <c r="Q53" i="20"/>
  <c r="P53" i="20"/>
  <c r="O53" i="20"/>
  <c r="N53" i="20"/>
  <c r="Q148" i="20"/>
  <c r="P148" i="20"/>
  <c r="O148" i="20"/>
  <c r="N148" i="20"/>
  <c r="Q140" i="20"/>
  <c r="P140" i="20"/>
  <c r="O140" i="20"/>
  <c r="N140" i="20"/>
  <c r="Q152" i="20"/>
  <c r="P152" i="20"/>
  <c r="O152" i="20"/>
  <c r="N152" i="20"/>
  <c r="Q20" i="20"/>
  <c r="P20" i="20"/>
  <c r="O20" i="20"/>
  <c r="N20" i="20"/>
  <c r="Q16" i="20"/>
  <c r="P16" i="20"/>
  <c r="O16" i="20"/>
  <c r="N16" i="20"/>
  <c r="Q15" i="20"/>
  <c r="P15" i="20"/>
  <c r="O15" i="20"/>
  <c r="N15" i="20"/>
  <c r="Q25" i="20"/>
  <c r="P25" i="20"/>
  <c r="O25" i="20"/>
  <c r="N25" i="20"/>
  <c r="Q58" i="20"/>
  <c r="P58" i="20"/>
  <c r="O58" i="20"/>
  <c r="N58" i="20"/>
  <c r="Q57" i="20"/>
  <c r="P57" i="20"/>
  <c r="O57" i="20"/>
  <c r="N57" i="20"/>
  <c r="Q63" i="20"/>
  <c r="P63" i="20"/>
  <c r="O63" i="20"/>
  <c r="N63" i="20"/>
  <c r="Q87" i="20"/>
  <c r="P87" i="20"/>
  <c r="O87" i="20"/>
  <c r="N87" i="20"/>
  <c r="Q62" i="20"/>
  <c r="P62" i="20"/>
  <c r="O62" i="20"/>
  <c r="N62" i="20"/>
  <c r="Q61" i="20"/>
  <c r="P61" i="20"/>
  <c r="O61" i="20"/>
  <c r="N61" i="20"/>
  <c r="Q60" i="20"/>
  <c r="P60" i="20"/>
  <c r="O60" i="20"/>
  <c r="N60" i="20"/>
  <c r="Q59" i="20"/>
  <c r="P59" i="20"/>
  <c r="O59" i="20"/>
  <c r="N59" i="20"/>
  <c r="Q114" i="20"/>
  <c r="P114" i="20"/>
  <c r="O114" i="20"/>
  <c r="N114" i="20"/>
  <c r="Q112" i="20"/>
  <c r="P112" i="20"/>
  <c r="O112" i="20"/>
  <c r="N112" i="20"/>
  <c r="Q111" i="20"/>
  <c r="P111" i="20"/>
  <c r="O111" i="20"/>
  <c r="N111" i="20"/>
  <c r="Q69" i="20"/>
  <c r="P69" i="20"/>
  <c r="O69" i="20"/>
  <c r="N69" i="20"/>
  <c r="Q76" i="20"/>
  <c r="P76" i="20"/>
  <c r="O76" i="20"/>
  <c r="N76" i="20"/>
  <c r="Q126" i="20"/>
  <c r="P126" i="20"/>
  <c r="O126" i="20"/>
  <c r="N126" i="20"/>
  <c r="Q130" i="20"/>
  <c r="P130" i="20"/>
  <c r="O130" i="20"/>
  <c r="N130" i="20"/>
  <c r="Q129" i="20"/>
  <c r="P129" i="20"/>
  <c r="O129" i="20"/>
  <c r="N129" i="20"/>
  <c r="Q128" i="20"/>
  <c r="P128" i="20"/>
  <c r="O128" i="20"/>
  <c r="N128" i="20"/>
  <c r="Q123" i="20"/>
  <c r="P123" i="20"/>
  <c r="O123" i="20"/>
  <c r="N123" i="20"/>
  <c r="Q68" i="20"/>
  <c r="P68" i="20"/>
  <c r="O68" i="20"/>
  <c r="N68" i="20"/>
  <c r="Q43" i="20"/>
  <c r="P43" i="20"/>
  <c r="O43" i="20"/>
  <c r="N43" i="20"/>
  <c r="Q73" i="20"/>
  <c r="P73" i="20"/>
  <c r="O73" i="20"/>
  <c r="N73" i="20"/>
  <c r="Q48" i="20"/>
  <c r="P48" i="20"/>
  <c r="O48" i="20"/>
  <c r="N48" i="20"/>
  <c r="Q52" i="20"/>
  <c r="P52" i="20"/>
  <c r="O52" i="20"/>
  <c r="N52" i="20"/>
  <c r="Q47" i="20"/>
  <c r="P47" i="20"/>
  <c r="O47" i="20"/>
  <c r="N47" i="20"/>
  <c r="Q46" i="20"/>
  <c r="P46" i="20"/>
  <c r="O46" i="20"/>
  <c r="N46" i="20"/>
  <c r="Q106" i="20"/>
  <c r="P106" i="20"/>
  <c r="O106" i="20"/>
  <c r="N106" i="20"/>
  <c r="Q96" i="20"/>
  <c r="P96" i="20"/>
  <c r="O96" i="20"/>
  <c r="N96" i="20"/>
  <c r="Q94" i="20"/>
  <c r="P94" i="20"/>
  <c r="O94" i="20"/>
  <c r="N94" i="20"/>
  <c r="Q92" i="20"/>
  <c r="P92" i="20"/>
  <c r="O92" i="20"/>
  <c r="N92" i="20"/>
  <c r="Q103" i="20"/>
  <c r="P103" i="20"/>
  <c r="O103" i="20"/>
  <c r="N103" i="20"/>
  <c r="Q91" i="20"/>
  <c r="P91" i="20"/>
  <c r="O91" i="20"/>
  <c r="N91" i="20"/>
  <c r="Q75" i="20"/>
  <c r="P75" i="20"/>
  <c r="O75" i="20"/>
  <c r="N75" i="20"/>
  <c r="Q81" i="20"/>
  <c r="P81" i="20"/>
  <c r="O81" i="20"/>
  <c r="N81" i="20"/>
  <c r="Q78" i="20"/>
  <c r="P78" i="20"/>
  <c r="O78" i="20"/>
  <c r="N78" i="20"/>
  <c r="Q77" i="20"/>
  <c r="P77" i="20"/>
  <c r="O77" i="20"/>
  <c r="N77" i="20"/>
  <c r="Q143" i="20"/>
  <c r="P143" i="20"/>
  <c r="O143" i="20"/>
  <c r="N143" i="20"/>
  <c r="Q136" i="20"/>
  <c r="P136" i="20"/>
  <c r="O136" i="20"/>
  <c r="N136" i="20"/>
  <c r="Q44" i="20"/>
  <c r="P44" i="20"/>
  <c r="O44" i="20"/>
  <c r="N44" i="20"/>
  <c r="Q27" i="20"/>
  <c r="P27" i="20"/>
  <c r="O27" i="20"/>
  <c r="N27" i="20"/>
  <c r="S871" i="19"/>
  <c r="T871" i="19"/>
  <c r="U871" i="19"/>
  <c r="C41" i="4"/>
  <c r="C44" i="4"/>
  <c r="C42" i="4"/>
  <c r="C43" i="4"/>
  <c r="C40" i="4"/>
  <c r="C39" i="4"/>
  <c r="C57" i="4"/>
  <c r="C36" i="4"/>
  <c r="K216" i="18"/>
  <c r="L216" i="18"/>
  <c r="M216" i="18"/>
  <c r="N216" i="18"/>
  <c r="O216" i="18"/>
  <c r="P216" i="18"/>
  <c r="Q216" i="18"/>
  <c r="O156" i="20" l="1"/>
  <c r="P156" i="20"/>
  <c r="Q156" i="20"/>
  <c r="C45" i="4"/>
  <c r="M12" i="14" l="1"/>
  <c r="N12" i="14"/>
  <c r="O12" i="14"/>
  <c r="L12" i="14"/>
  <c r="J15" i="19"/>
  <c r="F97" i="20" s="1"/>
  <c r="K15" i="19"/>
  <c r="G97" i="20" s="1"/>
  <c r="L15" i="19"/>
  <c r="H97" i="20" s="1"/>
  <c r="M15" i="19"/>
  <c r="I97" i="20" s="1"/>
  <c r="N15" i="19"/>
  <c r="J97" i="20" s="1"/>
  <c r="O15" i="19"/>
  <c r="K97" i="20" s="1"/>
  <c r="P15" i="19"/>
  <c r="L97" i="20" s="1"/>
  <c r="Q15" i="19"/>
  <c r="M97" i="20" s="1"/>
  <c r="J16" i="19"/>
  <c r="F99" i="20" s="1"/>
  <c r="K16" i="19"/>
  <c r="G99" i="20" s="1"/>
  <c r="L16" i="19"/>
  <c r="H99" i="20" s="1"/>
  <c r="M16" i="19"/>
  <c r="I99" i="20" s="1"/>
  <c r="N16" i="19"/>
  <c r="J99" i="20" s="1"/>
  <c r="O16" i="19"/>
  <c r="K99" i="20" s="1"/>
  <c r="P16" i="19"/>
  <c r="L99" i="20" s="1"/>
  <c r="Q16" i="19"/>
  <c r="M99" i="20" s="1"/>
  <c r="J17" i="19"/>
  <c r="F100" i="20" s="1"/>
  <c r="K17" i="19"/>
  <c r="G100" i="20" s="1"/>
  <c r="L17" i="19"/>
  <c r="H100" i="20" s="1"/>
  <c r="M17" i="19"/>
  <c r="I100" i="20" s="1"/>
  <c r="N17" i="19"/>
  <c r="J100" i="20" s="1"/>
  <c r="O17" i="19"/>
  <c r="K100" i="20" s="1"/>
  <c r="P17" i="19"/>
  <c r="L100" i="20" s="1"/>
  <c r="Q17" i="19"/>
  <c r="M100" i="20" s="1"/>
  <c r="J18" i="19"/>
  <c r="K18" i="19"/>
  <c r="L18" i="19"/>
  <c r="M18" i="19"/>
  <c r="N18" i="19"/>
  <c r="O18" i="19"/>
  <c r="P18" i="19"/>
  <c r="Q18" i="19"/>
  <c r="J19" i="19"/>
  <c r="K19" i="19"/>
  <c r="L19" i="19"/>
  <c r="M19" i="19"/>
  <c r="N19" i="19"/>
  <c r="O19" i="19"/>
  <c r="P19" i="19"/>
  <c r="Q19" i="19"/>
  <c r="J20" i="19"/>
  <c r="K20" i="19"/>
  <c r="L20" i="19"/>
  <c r="M20" i="19"/>
  <c r="N20" i="19"/>
  <c r="O20" i="19"/>
  <c r="P20" i="19"/>
  <c r="Q20" i="19"/>
  <c r="J21" i="19"/>
  <c r="K21" i="19"/>
  <c r="L21" i="19"/>
  <c r="M21" i="19"/>
  <c r="N21" i="19"/>
  <c r="O21" i="19"/>
  <c r="P21" i="19"/>
  <c r="Q21" i="19"/>
  <c r="J22" i="19"/>
  <c r="K22" i="19"/>
  <c r="L22" i="19"/>
  <c r="M22" i="19"/>
  <c r="N22" i="19"/>
  <c r="O22" i="19"/>
  <c r="P22" i="19"/>
  <c r="Q22" i="19"/>
  <c r="J23" i="19"/>
  <c r="K23" i="19"/>
  <c r="L23" i="19"/>
  <c r="M23" i="19"/>
  <c r="N23" i="19"/>
  <c r="O23" i="19"/>
  <c r="P23" i="19"/>
  <c r="Q23" i="19"/>
  <c r="J24" i="19"/>
  <c r="K24" i="19"/>
  <c r="L24" i="19"/>
  <c r="M24" i="19"/>
  <c r="N24" i="19"/>
  <c r="O24" i="19"/>
  <c r="P24" i="19"/>
  <c r="Q24" i="19"/>
  <c r="J25" i="19"/>
  <c r="K25" i="19"/>
  <c r="L25" i="19"/>
  <c r="M25" i="19"/>
  <c r="N25" i="19"/>
  <c r="O25" i="19"/>
  <c r="P25" i="19"/>
  <c r="Q25" i="19"/>
  <c r="J26" i="19"/>
  <c r="K26" i="19"/>
  <c r="L26" i="19"/>
  <c r="M26" i="19"/>
  <c r="N26" i="19"/>
  <c r="O26" i="19"/>
  <c r="P26" i="19"/>
  <c r="Q26" i="19"/>
  <c r="J27" i="19"/>
  <c r="K27" i="19"/>
  <c r="L27" i="19"/>
  <c r="M27" i="19"/>
  <c r="N27" i="19"/>
  <c r="O27" i="19"/>
  <c r="P27" i="19"/>
  <c r="Q27" i="19"/>
  <c r="J28" i="19"/>
  <c r="K28" i="19"/>
  <c r="L28" i="19"/>
  <c r="M28" i="19"/>
  <c r="N28" i="19"/>
  <c r="O28" i="19"/>
  <c r="P28" i="19"/>
  <c r="Q28" i="19"/>
  <c r="J29" i="19"/>
  <c r="K29" i="19"/>
  <c r="L29" i="19"/>
  <c r="M29" i="19"/>
  <c r="N29" i="19"/>
  <c r="O29" i="19"/>
  <c r="P29" i="19"/>
  <c r="Q29" i="19"/>
  <c r="J30" i="19"/>
  <c r="F49" i="20" s="1"/>
  <c r="K30" i="19"/>
  <c r="G49" i="20" s="1"/>
  <c r="L30" i="19"/>
  <c r="H49" i="20" s="1"/>
  <c r="M30" i="19"/>
  <c r="I49" i="20" s="1"/>
  <c r="N30" i="19"/>
  <c r="J49" i="20" s="1"/>
  <c r="O30" i="19"/>
  <c r="K49" i="20" s="1"/>
  <c r="P30" i="19"/>
  <c r="L49" i="20" s="1"/>
  <c r="Q30" i="19"/>
  <c r="M49" i="20" s="1"/>
  <c r="J31" i="19"/>
  <c r="F54" i="20" s="1"/>
  <c r="K31" i="19"/>
  <c r="G54" i="20" s="1"/>
  <c r="L31" i="19"/>
  <c r="H54" i="20" s="1"/>
  <c r="M31" i="19"/>
  <c r="I54" i="20" s="1"/>
  <c r="N31" i="19"/>
  <c r="J54" i="20" s="1"/>
  <c r="O31" i="19"/>
  <c r="K54" i="20" s="1"/>
  <c r="P31" i="19"/>
  <c r="L54" i="20" s="1"/>
  <c r="Q31" i="19"/>
  <c r="M54" i="20" s="1"/>
  <c r="J32" i="19"/>
  <c r="K32" i="19"/>
  <c r="L32" i="19"/>
  <c r="M32" i="19"/>
  <c r="N32" i="19"/>
  <c r="O32" i="19"/>
  <c r="P32" i="19"/>
  <c r="Q32" i="19"/>
  <c r="J33" i="19"/>
  <c r="K33" i="19"/>
  <c r="L33" i="19"/>
  <c r="M33" i="19"/>
  <c r="N33" i="19"/>
  <c r="O33" i="19"/>
  <c r="P33" i="19"/>
  <c r="Q33" i="19"/>
  <c r="J34" i="19"/>
  <c r="F66" i="20" s="1"/>
  <c r="K34" i="19"/>
  <c r="G66" i="20" s="1"/>
  <c r="L34" i="19"/>
  <c r="H66" i="20" s="1"/>
  <c r="M34" i="19"/>
  <c r="I66" i="20" s="1"/>
  <c r="N34" i="19"/>
  <c r="J66" i="20" s="1"/>
  <c r="O34" i="19"/>
  <c r="K66" i="20" s="1"/>
  <c r="P34" i="19"/>
  <c r="L66" i="20" s="1"/>
  <c r="Q34" i="19"/>
  <c r="M66" i="20" s="1"/>
  <c r="J35" i="19"/>
  <c r="K35" i="19"/>
  <c r="L35" i="19"/>
  <c r="M35" i="19"/>
  <c r="N35" i="19"/>
  <c r="O35" i="19"/>
  <c r="P35" i="19"/>
  <c r="Q35" i="19"/>
  <c r="J36" i="19"/>
  <c r="K36" i="19"/>
  <c r="L36" i="19"/>
  <c r="M36" i="19"/>
  <c r="N36" i="19"/>
  <c r="O36" i="19"/>
  <c r="P36" i="19"/>
  <c r="Q36" i="19"/>
  <c r="J37" i="19"/>
  <c r="K37" i="19"/>
  <c r="L37" i="19"/>
  <c r="M37" i="19"/>
  <c r="N37" i="19"/>
  <c r="O37" i="19"/>
  <c r="P37" i="19"/>
  <c r="Q37" i="19"/>
  <c r="J38" i="19"/>
  <c r="K38" i="19"/>
  <c r="L38" i="19"/>
  <c r="M38" i="19"/>
  <c r="N38" i="19"/>
  <c r="O38" i="19"/>
  <c r="P38" i="19"/>
  <c r="Q38" i="19"/>
  <c r="J39" i="19"/>
  <c r="K39" i="19"/>
  <c r="L39" i="19"/>
  <c r="M39" i="19"/>
  <c r="N39" i="19"/>
  <c r="O39" i="19"/>
  <c r="P39" i="19"/>
  <c r="Q39" i="19"/>
  <c r="J40" i="19"/>
  <c r="K40" i="19"/>
  <c r="L40" i="19"/>
  <c r="M40" i="19"/>
  <c r="N40" i="19"/>
  <c r="O40" i="19"/>
  <c r="P40" i="19"/>
  <c r="Q40" i="19"/>
  <c r="J41" i="19"/>
  <c r="K41" i="19"/>
  <c r="L41" i="19"/>
  <c r="M41" i="19"/>
  <c r="N41" i="19"/>
  <c r="O41" i="19"/>
  <c r="P41" i="19"/>
  <c r="Q41" i="19"/>
  <c r="J42" i="19"/>
  <c r="K42" i="19"/>
  <c r="L42" i="19"/>
  <c r="M42" i="19"/>
  <c r="N42" i="19"/>
  <c r="O42" i="19"/>
  <c r="P42" i="19"/>
  <c r="Q42" i="19"/>
  <c r="J43" i="19"/>
  <c r="K43" i="19"/>
  <c r="L43" i="19"/>
  <c r="M43" i="19"/>
  <c r="N43" i="19"/>
  <c r="O43" i="19"/>
  <c r="P43" i="19"/>
  <c r="Q43" i="19"/>
  <c r="J44" i="19"/>
  <c r="K44" i="19"/>
  <c r="L44" i="19"/>
  <c r="M44" i="19"/>
  <c r="N44" i="19"/>
  <c r="O44" i="19"/>
  <c r="P44" i="19"/>
  <c r="Q44" i="19"/>
  <c r="J45" i="19"/>
  <c r="K45" i="19"/>
  <c r="L45" i="19"/>
  <c r="M45" i="19"/>
  <c r="N45" i="19"/>
  <c r="O45" i="19"/>
  <c r="P45" i="19"/>
  <c r="Q45" i="19"/>
  <c r="J46" i="19"/>
  <c r="K46" i="19"/>
  <c r="L46" i="19"/>
  <c r="M46" i="19"/>
  <c r="N46" i="19"/>
  <c r="O46" i="19"/>
  <c r="P46" i="19"/>
  <c r="Q46" i="19"/>
  <c r="J47" i="19"/>
  <c r="K47" i="19"/>
  <c r="L47" i="19"/>
  <c r="M47" i="19"/>
  <c r="N47" i="19"/>
  <c r="O47" i="19"/>
  <c r="P47" i="19"/>
  <c r="Q47" i="19"/>
  <c r="J48" i="19"/>
  <c r="K48" i="19"/>
  <c r="L48" i="19"/>
  <c r="M48" i="19"/>
  <c r="N48" i="19"/>
  <c r="O48" i="19"/>
  <c r="P48" i="19"/>
  <c r="Q48" i="19"/>
  <c r="J49" i="19"/>
  <c r="F79" i="20" s="1"/>
  <c r="K49" i="19"/>
  <c r="G79" i="20" s="1"/>
  <c r="L49" i="19"/>
  <c r="H79" i="20" s="1"/>
  <c r="M49" i="19"/>
  <c r="I79" i="20" s="1"/>
  <c r="N49" i="19"/>
  <c r="J79" i="20" s="1"/>
  <c r="O49" i="19"/>
  <c r="K79" i="20" s="1"/>
  <c r="P49" i="19"/>
  <c r="L79" i="20" s="1"/>
  <c r="Q49" i="19"/>
  <c r="M79" i="20" s="1"/>
  <c r="J50" i="19"/>
  <c r="F80" i="20" s="1"/>
  <c r="K50" i="19"/>
  <c r="G80" i="20" s="1"/>
  <c r="L50" i="19"/>
  <c r="H80" i="20" s="1"/>
  <c r="M50" i="19"/>
  <c r="I80" i="20" s="1"/>
  <c r="N50" i="19"/>
  <c r="J80" i="20" s="1"/>
  <c r="O50" i="19"/>
  <c r="K80" i="20" s="1"/>
  <c r="P50" i="19"/>
  <c r="L80" i="20" s="1"/>
  <c r="Q50" i="19"/>
  <c r="M80" i="20" s="1"/>
  <c r="J51" i="19"/>
  <c r="K51" i="19"/>
  <c r="L51" i="19"/>
  <c r="M51" i="19"/>
  <c r="N51" i="19"/>
  <c r="O51" i="19"/>
  <c r="P51" i="19"/>
  <c r="Q51" i="19"/>
  <c r="J52" i="19"/>
  <c r="K52" i="19"/>
  <c r="L52" i="19"/>
  <c r="M52" i="19"/>
  <c r="N52" i="19"/>
  <c r="O52" i="19"/>
  <c r="P52" i="19"/>
  <c r="Q52" i="19"/>
  <c r="J53" i="19"/>
  <c r="K53" i="19"/>
  <c r="L53" i="19"/>
  <c r="M53" i="19"/>
  <c r="N53" i="19"/>
  <c r="O53" i="19"/>
  <c r="P53" i="19"/>
  <c r="Q53" i="19"/>
  <c r="J54" i="19"/>
  <c r="K54" i="19"/>
  <c r="L54" i="19"/>
  <c r="M54" i="19"/>
  <c r="N54" i="19"/>
  <c r="O54" i="19"/>
  <c r="P54" i="19"/>
  <c r="Q54" i="19"/>
  <c r="J55" i="19"/>
  <c r="K55" i="19"/>
  <c r="L55" i="19"/>
  <c r="M55" i="19"/>
  <c r="N55" i="19"/>
  <c r="O55" i="19"/>
  <c r="P55" i="19"/>
  <c r="Q55" i="19"/>
  <c r="J56" i="19"/>
  <c r="K56" i="19"/>
  <c r="L56" i="19"/>
  <c r="M56" i="19"/>
  <c r="N56" i="19"/>
  <c r="O56" i="19"/>
  <c r="P56" i="19"/>
  <c r="Q56" i="19"/>
  <c r="J57" i="19"/>
  <c r="K57" i="19"/>
  <c r="L57" i="19"/>
  <c r="M57" i="19"/>
  <c r="N57" i="19"/>
  <c r="O57" i="19"/>
  <c r="P57" i="19"/>
  <c r="Q57" i="19"/>
  <c r="J58" i="19"/>
  <c r="K58" i="19"/>
  <c r="L58" i="19"/>
  <c r="M58" i="19"/>
  <c r="N58" i="19"/>
  <c r="O58" i="19"/>
  <c r="P58" i="19"/>
  <c r="Q58" i="19"/>
  <c r="J59" i="19"/>
  <c r="K59" i="19"/>
  <c r="L59" i="19"/>
  <c r="M59" i="19"/>
  <c r="N59" i="19"/>
  <c r="O59" i="19"/>
  <c r="P59" i="19"/>
  <c r="Q59" i="19"/>
  <c r="J60" i="19"/>
  <c r="K60" i="19"/>
  <c r="L60" i="19"/>
  <c r="M60" i="19"/>
  <c r="N60" i="19"/>
  <c r="O60" i="19"/>
  <c r="P60" i="19"/>
  <c r="Q60" i="19"/>
  <c r="J61" i="19"/>
  <c r="K61" i="19"/>
  <c r="L61" i="19"/>
  <c r="M61" i="19"/>
  <c r="N61" i="19"/>
  <c r="O61" i="19"/>
  <c r="P61" i="19"/>
  <c r="Q61" i="19"/>
  <c r="J62" i="19"/>
  <c r="K62" i="19"/>
  <c r="L62" i="19"/>
  <c r="M62" i="19"/>
  <c r="N62" i="19"/>
  <c r="O62" i="19"/>
  <c r="P62" i="19"/>
  <c r="Q62" i="19"/>
  <c r="J63" i="19"/>
  <c r="K63" i="19"/>
  <c r="L63" i="19"/>
  <c r="M63" i="19"/>
  <c r="N63" i="19"/>
  <c r="O63" i="19"/>
  <c r="P63" i="19"/>
  <c r="Q63" i="19"/>
  <c r="J64" i="19"/>
  <c r="K64" i="19"/>
  <c r="L64" i="19"/>
  <c r="M64" i="19"/>
  <c r="N64" i="19"/>
  <c r="O64" i="19"/>
  <c r="P64" i="19"/>
  <c r="Q64" i="19"/>
  <c r="J65" i="19"/>
  <c r="K65" i="19"/>
  <c r="L65" i="19"/>
  <c r="M65" i="19"/>
  <c r="N65" i="19"/>
  <c r="O65" i="19"/>
  <c r="P65" i="19"/>
  <c r="Q65" i="19"/>
  <c r="J66" i="19"/>
  <c r="K66" i="19"/>
  <c r="L66" i="19"/>
  <c r="M66" i="19"/>
  <c r="N66" i="19"/>
  <c r="O66" i="19"/>
  <c r="P66" i="19"/>
  <c r="Q66" i="19"/>
  <c r="J67" i="19"/>
  <c r="K67" i="19"/>
  <c r="L67" i="19"/>
  <c r="M67" i="19"/>
  <c r="N67" i="19"/>
  <c r="O67" i="19"/>
  <c r="P67" i="19"/>
  <c r="Q67" i="19"/>
  <c r="J68" i="19"/>
  <c r="K68" i="19"/>
  <c r="L68" i="19"/>
  <c r="M68" i="19"/>
  <c r="N68" i="19"/>
  <c r="O68" i="19"/>
  <c r="P68" i="19"/>
  <c r="Q68" i="19"/>
  <c r="J69" i="19"/>
  <c r="K69" i="19"/>
  <c r="L69" i="19"/>
  <c r="M69" i="19"/>
  <c r="N69" i="19"/>
  <c r="O69" i="19"/>
  <c r="P69" i="19"/>
  <c r="Q69" i="19"/>
  <c r="J70" i="19"/>
  <c r="F26" i="20" s="1"/>
  <c r="K70" i="19"/>
  <c r="G26" i="20" s="1"/>
  <c r="L70" i="19"/>
  <c r="H26" i="20" s="1"/>
  <c r="M70" i="19"/>
  <c r="I26" i="20" s="1"/>
  <c r="N70" i="19"/>
  <c r="J26" i="20" s="1"/>
  <c r="O70" i="19"/>
  <c r="K26" i="20" s="1"/>
  <c r="P70" i="19"/>
  <c r="L26" i="20" s="1"/>
  <c r="Q70" i="19"/>
  <c r="M26" i="20" s="1"/>
  <c r="J71" i="19"/>
  <c r="K71" i="19"/>
  <c r="L71" i="19"/>
  <c r="M71" i="19"/>
  <c r="N71" i="19"/>
  <c r="O71" i="19"/>
  <c r="P71" i="19"/>
  <c r="Q71" i="19"/>
  <c r="J72" i="19"/>
  <c r="K72" i="19"/>
  <c r="L72" i="19"/>
  <c r="M72" i="19"/>
  <c r="N72" i="19"/>
  <c r="O72" i="19"/>
  <c r="P72" i="19"/>
  <c r="Q72" i="19"/>
  <c r="J73" i="19"/>
  <c r="K73" i="19"/>
  <c r="L73" i="19"/>
  <c r="M73" i="19"/>
  <c r="N73" i="19"/>
  <c r="O73" i="19"/>
  <c r="P73" i="19"/>
  <c r="Q73" i="19"/>
  <c r="J74" i="19"/>
  <c r="K74" i="19"/>
  <c r="L74" i="19"/>
  <c r="M74" i="19"/>
  <c r="N74" i="19"/>
  <c r="O74" i="19"/>
  <c r="P74" i="19"/>
  <c r="Q74" i="19"/>
  <c r="J75" i="19"/>
  <c r="K75" i="19"/>
  <c r="L75" i="19"/>
  <c r="M75" i="19"/>
  <c r="N75" i="19"/>
  <c r="O75" i="19"/>
  <c r="P75" i="19"/>
  <c r="Q75" i="19"/>
  <c r="J76" i="19"/>
  <c r="K76" i="19"/>
  <c r="L76" i="19"/>
  <c r="M76" i="19"/>
  <c r="N76" i="19"/>
  <c r="O76" i="19"/>
  <c r="P76" i="19"/>
  <c r="Q76" i="19"/>
  <c r="J77" i="19"/>
  <c r="F24" i="20" s="1"/>
  <c r="K77" i="19"/>
  <c r="G24" i="20" s="1"/>
  <c r="L77" i="19"/>
  <c r="H24" i="20" s="1"/>
  <c r="M77" i="19"/>
  <c r="I24" i="20" s="1"/>
  <c r="N77" i="19"/>
  <c r="J24" i="20" s="1"/>
  <c r="O77" i="19"/>
  <c r="K24" i="20" s="1"/>
  <c r="P77" i="19"/>
  <c r="L24" i="20" s="1"/>
  <c r="Q77" i="19"/>
  <c r="M24" i="20" s="1"/>
  <c r="J78" i="19"/>
  <c r="F142" i="20" s="1"/>
  <c r="K78" i="19"/>
  <c r="G142" i="20" s="1"/>
  <c r="L78" i="19"/>
  <c r="H142" i="20" s="1"/>
  <c r="M78" i="19"/>
  <c r="I142" i="20" s="1"/>
  <c r="N78" i="19"/>
  <c r="J142" i="20" s="1"/>
  <c r="O78" i="19"/>
  <c r="K142" i="20" s="1"/>
  <c r="P78" i="19"/>
  <c r="L142" i="20" s="1"/>
  <c r="Q78" i="19"/>
  <c r="M142" i="20" s="1"/>
  <c r="J79" i="19"/>
  <c r="K79" i="19"/>
  <c r="L79" i="19"/>
  <c r="M79" i="19"/>
  <c r="N79" i="19"/>
  <c r="O79" i="19"/>
  <c r="P79" i="19"/>
  <c r="Q79" i="19"/>
  <c r="J80" i="19"/>
  <c r="K80" i="19"/>
  <c r="L80" i="19"/>
  <c r="M80" i="19"/>
  <c r="N80" i="19"/>
  <c r="O80" i="19"/>
  <c r="P80" i="19"/>
  <c r="Q80" i="19"/>
  <c r="J81" i="19"/>
  <c r="K81" i="19"/>
  <c r="L81" i="19"/>
  <c r="M81" i="19"/>
  <c r="N81" i="19"/>
  <c r="O81" i="19"/>
  <c r="P81" i="19"/>
  <c r="Q81" i="19"/>
  <c r="J82" i="19"/>
  <c r="F149" i="20" s="1"/>
  <c r="K82" i="19"/>
  <c r="G149" i="20" s="1"/>
  <c r="L82" i="19"/>
  <c r="H149" i="20" s="1"/>
  <c r="M82" i="19"/>
  <c r="I149" i="20" s="1"/>
  <c r="N82" i="19"/>
  <c r="J149" i="20" s="1"/>
  <c r="O82" i="19"/>
  <c r="K149" i="20" s="1"/>
  <c r="P82" i="19"/>
  <c r="L149" i="20" s="1"/>
  <c r="Q82" i="19"/>
  <c r="M149" i="20" s="1"/>
  <c r="J83" i="19"/>
  <c r="K83" i="19"/>
  <c r="L83" i="19"/>
  <c r="M83" i="19"/>
  <c r="N83" i="19"/>
  <c r="O83" i="19"/>
  <c r="P83" i="19"/>
  <c r="Q83" i="19"/>
  <c r="J84" i="19"/>
  <c r="K84" i="19"/>
  <c r="L84" i="19"/>
  <c r="M84" i="19"/>
  <c r="N84" i="19"/>
  <c r="O84" i="19"/>
  <c r="P84" i="19"/>
  <c r="Q84" i="19"/>
  <c r="J85" i="19"/>
  <c r="K85" i="19"/>
  <c r="L85" i="19"/>
  <c r="M85" i="19"/>
  <c r="N85" i="19"/>
  <c r="O85" i="19"/>
  <c r="P85" i="19"/>
  <c r="Q85" i="19"/>
  <c r="J86" i="19"/>
  <c r="K86" i="19"/>
  <c r="L86" i="19"/>
  <c r="M86" i="19"/>
  <c r="N86" i="19"/>
  <c r="O86" i="19"/>
  <c r="P86" i="19"/>
  <c r="Q86" i="19"/>
  <c r="J87" i="19"/>
  <c r="K87" i="19"/>
  <c r="L87" i="19"/>
  <c r="M87" i="19"/>
  <c r="N87" i="19"/>
  <c r="O87" i="19"/>
  <c r="P87" i="19"/>
  <c r="Q87" i="19"/>
  <c r="J88" i="19"/>
  <c r="K88" i="19"/>
  <c r="L88" i="19"/>
  <c r="M88" i="19"/>
  <c r="N88" i="19"/>
  <c r="O88" i="19"/>
  <c r="P88" i="19"/>
  <c r="Q88" i="19"/>
  <c r="J89" i="19"/>
  <c r="K89" i="19"/>
  <c r="L89" i="19"/>
  <c r="M89" i="19"/>
  <c r="N89" i="19"/>
  <c r="O89" i="19"/>
  <c r="P89" i="19"/>
  <c r="Q89" i="19"/>
  <c r="J90" i="19"/>
  <c r="K90" i="19"/>
  <c r="L90" i="19"/>
  <c r="M90" i="19"/>
  <c r="N90" i="19"/>
  <c r="O90" i="19"/>
  <c r="P90" i="19"/>
  <c r="Q90" i="19"/>
  <c r="J91" i="19"/>
  <c r="K91" i="19"/>
  <c r="L91" i="19"/>
  <c r="M91" i="19"/>
  <c r="N91" i="19"/>
  <c r="O91" i="19"/>
  <c r="P91" i="19"/>
  <c r="Q91" i="19"/>
  <c r="J92" i="19"/>
  <c r="K92" i="19"/>
  <c r="L92" i="19"/>
  <c r="M92" i="19"/>
  <c r="N92" i="19"/>
  <c r="O92" i="19"/>
  <c r="P92" i="19"/>
  <c r="Q92" i="19"/>
  <c r="J93" i="19"/>
  <c r="K93" i="19"/>
  <c r="L93" i="19"/>
  <c r="M93" i="19"/>
  <c r="N93" i="19"/>
  <c r="O93" i="19"/>
  <c r="P93" i="19"/>
  <c r="Q93" i="19"/>
  <c r="J94" i="19"/>
  <c r="K94" i="19"/>
  <c r="L94" i="19"/>
  <c r="M94" i="19"/>
  <c r="N94" i="19"/>
  <c r="O94" i="19"/>
  <c r="P94" i="19"/>
  <c r="Q94" i="19"/>
  <c r="J95" i="19"/>
  <c r="K95" i="19"/>
  <c r="L95" i="19"/>
  <c r="M95" i="19"/>
  <c r="N95" i="19"/>
  <c r="O95" i="19"/>
  <c r="P95" i="19"/>
  <c r="Q95" i="19"/>
  <c r="J96" i="19"/>
  <c r="K96" i="19"/>
  <c r="L96" i="19"/>
  <c r="M96" i="19"/>
  <c r="N96" i="19"/>
  <c r="O96" i="19"/>
  <c r="P96" i="19"/>
  <c r="Q96" i="19"/>
  <c r="J97" i="19"/>
  <c r="K97" i="19"/>
  <c r="L97" i="19"/>
  <c r="M97" i="19"/>
  <c r="N97" i="19"/>
  <c r="O97" i="19"/>
  <c r="P97" i="19"/>
  <c r="Q97" i="19"/>
  <c r="J98" i="19"/>
  <c r="F139" i="20" s="1"/>
  <c r="K98" i="19"/>
  <c r="G139" i="20" s="1"/>
  <c r="L98" i="19"/>
  <c r="H139" i="20" s="1"/>
  <c r="M98" i="19"/>
  <c r="I139" i="20" s="1"/>
  <c r="N98" i="19"/>
  <c r="J139" i="20" s="1"/>
  <c r="O98" i="19"/>
  <c r="K139" i="20" s="1"/>
  <c r="P98" i="19"/>
  <c r="L139" i="20" s="1"/>
  <c r="Q98" i="19"/>
  <c r="M139" i="20" s="1"/>
  <c r="J99" i="19"/>
  <c r="K99" i="19"/>
  <c r="L99" i="19"/>
  <c r="M99" i="19"/>
  <c r="N99" i="19"/>
  <c r="O99" i="19"/>
  <c r="P99" i="19"/>
  <c r="Q99" i="19"/>
  <c r="J100" i="19"/>
  <c r="K100" i="19"/>
  <c r="L100" i="19"/>
  <c r="M100" i="19"/>
  <c r="N100" i="19"/>
  <c r="O100" i="19"/>
  <c r="P100" i="19"/>
  <c r="Q100" i="19"/>
  <c r="J101" i="19"/>
  <c r="F127" i="20" s="1"/>
  <c r="K101" i="19"/>
  <c r="G127" i="20" s="1"/>
  <c r="L101" i="19"/>
  <c r="H127" i="20" s="1"/>
  <c r="M101" i="19"/>
  <c r="I127" i="20" s="1"/>
  <c r="N101" i="19"/>
  <c r="J127" i="20" s="1"/>
  <c r="O101" i="19"/>
  <c r="K127" i="20" s="1"/>
  <c r="P101" i="19"/>
  <c r="L127" i="20" s="1"/>
  <c r="Q101" i="19"/>
  <c r="M127" i="20" s="1"/>
  <c r="J102" i="19"/>
  <c r="K102" i="19"/>
  <c r="L102" i="19"/>
  <c r="M102" i="19"/>
  <c r="N102" i="19"/>
  <c r="O102" i="19"/>
  <c r="P102" i="19"/>
  <c r="Q102" i="19"/>
  <c r="J103" i="19"/>
  <c r="K103" i="19"/>
  <c r="L103" i="19"/>
  <c r="M103" i="19"/>
  <c r="N103" i="19"/>
  <c r="O103" i="19"/>
  <c r="P103" i="19"/>
  <c r="Q103" i="19"/>
  <c r="J104" i="19"/>
  <c r="K104" i="19"/>
  <c r="L104" i="19"/>
  <c r="M104" i="19"/>
  <c r="N104" i="19"/>
  <c r="O104" i="19"/>
  <c r="P104" i="19"/>
  <c r="Q104" i="19"/>
  <c r="J105" i="19"/>
  <c r="K105" i="19"/>
  <c r="L105" i="19"/>
  <c r="M105" i="19"/>
  <c r="N105" i="19"/>
  <c r="O105" i="19"/>
  <c r="P105" i="19"/>
  <c r="Q105" i="19"/>
  <c r="J106" i="19"/>
  <c r="K106" i="19"/>
  <c r="L106" i="19"/>
  <c r="M106" i="19"/>
  <c r="N106" i="19"/>
  <c r="O106" i="19"/>
  <c r="P106" i="19"/>
  <c r="Q106" i="19"/>
  <c r="J107" i="19"/>
  <c r="K107" i="19"/>
  <c r="L107" i="19"/>
  <c r="M107" i="19"/>
  <c r="N107" i="19"/>
  <c r="O107" i="19"/>
  <c r="P107" i="19"/>
  <c r="Q107" i="19"/>
  <c r="J108" i="19"/>
  <c r="K108" i="19"/>
  <c r="L108" i="19"/>
  <c r="M108" i="19"/>
  <c r="N108" i="19"/>
  <c r="O108" i="19"/>
  <c r="P108" i="19"/>
  <c r="Q108" i="19"/>
  <c r="J109" i="19"/>
  <c r="K109" i="19"/>
  <c r="L109" i="19"/>
  <c r="M109" i="19"/>
  <c r="N109" i="19"/>
  <c r="O109" i="19"/>
  <c r="P109" i="19"/>
  <c r="Q109" i="19"/>
  <c r="J110" i="19"/>
  <c r="K110" i="19"/>
  <c r="L110" i="19"/>
  <c r="M110" i="19"/>
  <c r="N110" i="19"/>
  <c r="O110" i="19"/>
  <c r="P110" i="19"/>
  <c r="Q110" i="19"/>
  <c r="J111" i="19"/>
  <c r="K111" i="19"/>
  <c r="L111" i="19"/>
  <c r="M111" i="19"/>
  <c r="N111" i="19"/>
  <c r="O111" i="19"/>
  <c r="P111" i="19"/>
  <c r="Q111" i="19"/>
  <c r="J112" i="19"/>
  <c r="K112" i="19"/>
  <c r="L112" i="19"/>
  <c r="M112" i="19"/>
  <c r="N112" i="19"/>
  <c r="O112" i="19"/>
  <c r="P112" i="19"/>
  <c r="Q112" i="19"/>
  <c r="J113" i="19"/>
  <c r="K113" i="19"/>
  <c r="L113" i="19"/>
  <c r="M113" i="19"/>
  <c r="N113" i="19"/>
  <c r="O113" i="19"/>
  <c r="P113" i="19"/>
  <c r="Q113" i="19"/>
  <c r="J114" i="19"/>
  <c r="K114" i="19"/>
  <c r="L114" i="19"/>
  <c r="M114" i="19"/>
  <c r="N114" i="19"/>
  <c r="O114" i="19"/>
  <c r="P114" i="19"/>
  <c r="Q114" i="19"/>
  <c r="J115" i="19"/>
  <c r="F19" i="20" s="1"/>
  <c r="K115" i="19"/>
  <c r="G19" i="20" s="1"/>
  <c r="L115" i="19"/>
  <c r="H19" i="20" s="1"/>
  <c r="M115" i="19"/>
  <c r="I19" i="20" s="1"/>
  <c r="N115" i="19"/>
  <c r="J19" i="20" s="1"/>
  <c r="O115" i="19"/>
  <c r="K19" i="20" s="1"/>
  <c r="P115" i="19"/>
  <c r="L19" i="20" s="1"/>
  <c r="Q115" i="19"/>
  <c r="M19" i="20" s="1"/>
  <c r="J116" i="19"/>
  <c r="K116" i="19"/>
  <c r="L116" i="19"/>
  <c r="M116" i="19"/>
  <c r="N116" i="19"/>
  <c r="O116" i="19"/>
  <c r="P116" i="19"/>
  <c r="Q116" i="19"/>
  <c r="J117" i="19"/>
  <c r="K117" i="19"/>
  <c r="L117" i="19"/>
  <c r="M117" i="19"/>
  <c r="N117" i="19"/>
  <c r="O117" i="19"/>
  <c r="P117" i="19"/>
  <c r="Q117" i="19"/>
  <c r="J118" i="19"/>
  <c r="K118" i="19"/>
  <c r="L118" i="19"/>
  <c r="M118" i="19"/>
  <c r="N118" i="19"/>
  <c r="O118" i="19"/>
  <c r="P118" i="19"/>
  <c r="Q118" i="19"/>
  <c r="J119" i="19"/>
  <c r="K119" i="19"/>
  <c r="L119" i="19"/>
  <c r="M119" i="19"/>
  <c r="N119" i="19"/>
  <c r="O119" i="19"/>
  <c r="P119" i="19"/>
  <c r="Q119" i="19"/>
  <c r="J120" i="19"/>
  <c r="K120" i="19"/>
  <c r="L120" i="19"/>
  <c r="M120" i="19"/>
  <c r="N120" i="19"/>
  <c r="O120" i="19"/>
  <c r="P120" i="19"/>
  <c r="Q120" i="19"/>
  <c r="J121" i="19"/>
  <c r="K121" i="19"/>
  <c r="L121" i="19"/>
  <c r="M121" i="19"/>
  <c r="N121" i="19"/>
  <c r="O121" i="19"/>
  <c r="P121" i="19"/>
  <c r="Q121" i="19"/>
  <c r="J122" i="19"/>
  <c r="K122" i="19"/>
  <c r="L122" i="19"/>
  <c r="M122" i="19"/>
  <c r="N122" i="19"/>
  <c r="O122" i="19"/>
  <c r="P122" i="19"/>
  <c r="Q122" i="19"/>
  <c r="J123" i="19"/>
  <c r="K123" i="19"/>
  <c r="L123" i="19"/>
  <c r="M123" i="19"/>
  <c r="N123" i="19"/>
  <c r="O123" i="19"/>
  <c r="P123" i="19"/>
  <c r="Q123" i="19"/>
  <c r="J124" i="19"/>
  <c r="F84" i="20" s="1"/>
  <c r="K124" i="19"/>
  <c r="G84" i="20" s="1"/>
  <c r="L124" i="19"/>
  <c r="H84" i="20" s="1"/>
  <c r="M124" i="19"/>
  <c r="I84" i="20" s="1"/>
  <c r="N124" i="19"/>
  <c r="J84" i="20" s="1"/>
  <c r="O124" i="19"/>
  <c r="K84" i="20" s="1"/>
  <c r="P124" i="19"/>
  <c r="L84" i="20" s="1"/>
  <c r="Q124" i="19"/>
  <c r="M84" i="20" s="1"/>
  <c r="J125" i="19"/>
  <c r="F70" i="20" s="1"/>
  <c r="K125" i="19"/>
  <c r="G70" i="20" s="1"/>
  <c r="L125" i="19"/>
  <c r="H70" i="20" s="1"/>
  <c r="M125" i="19"/>
  <c r="I70" i="20" s="1"/>
  <c r="N125" i="19"/>
  <c r="J70" i="20" s="1"/>
  <c r="O125" i="19"/>
  <c r="K70" i="20" s="1"/>
  <c r="P125" i="19"/>
  <c r="L70" i="20" s="1"/>
  <c r="Q125" i="19"/>
  <c r="M70" i="20" s="1"/>
  <c r="J126" i="19"/>
  <c r="K126" i="19"/>
  <c r="L126" i="19"/>
  <c r="M126" i="19"/>
  <c r="N126" i="19"/>
  <c r="O126" i="19"/>
  <c r="P126" i="19"/>
  <c r="Q126" i="19"/>
  <c r="J127" i="19"/>
  <c r="F71" i="20" s="1"/>
  <c r="K127" i="19"/>
  <c r="G71" i="20" s="1"/>
  <c r="L127" i="19"/>
  <c r="H71" i="20" s="1"/>
  <c r="M127" i="19"/>
  <c r="I71" i="20" s="1"/>
  <c r="N127" i="19"/>
  <c r="J71" i="20" s="1"/>
  <c r="O127" i="19"/>
  <c r="K71" i="20" s="1"/>
  <c r="P127" i="19"/>
  <c r="L71" i="20" s="1"/>
  <c r="Q127" i="19"/>
  <c r="M71" i="20" s="1"/>
  <c r="J128" i="19"/>
  <c r="K128" i="19"/>
  <c r="L128" i="19"/>
  <c r="M128" i="19"/>
  <c r="N128" i="19"/>
  <c r="O128" i="19"/>
  <c r="P128" i="19"/>
  <c r="Q128" i="19"/>
  <c r="J129" i="19"/>
  <c r="F72" i="20" s="1"/>
  <c r="K129" i="19"/>
  <c r="G72" i="20" s="1"/>
  <c r="L129" i="19"/>
  <c r="H72" i="20" s="1"/>
  <c r="M129" i="19"/>
  <c r="I72" i="20" s="1"/>
  <c r="N129" i="19"/>
  <c r="J72" i="20" s="1"/>
  <c r="O129" i="19"/>
  <c r="K72" i="20" s="1"/>
  <c r="P129" i="19"/>
  <c r="L72" i="20" s="1"/>
  <c r="Q129" i="19"/>
  <c r="M72" i="20" s="1"/>
  <c r="J130" i="19"/>
  <c r="K130" i="19"/>
  <c r="L130" i="19"/>
  <c r="M130" i="19"/>
  <c r="N130" i="19"/>
  <c r="O130" i="19"/>
  <c r="P130" i="19"/>
  <c r="Q130" i="19"/>
  <c r="J131" i="19"/>
  <c r="K131" i="19"/>
  <c r="L131" i="19"/>
  <c r="M131" i="19"/>
  <c r="N131" i="19"/>
  <c r="O131" i="19"/>
  <c r="P131" i="19"/>
  <c r="Q131" i="19"/>
  <c r="J132" i="19"/>
  <c r="K132" i="19"/>
  <c r="L132" i="19"/>
  <c r="M132" i="19"/>
  <c r="N132" i="19"/>
  <c r="O132" i="19"/>
  <c r="P132" i="19"/>
  <c r="Q132" i="19"/>
  <c r="J133" i="19"/>
  <c r="K133" i="19"/>
  <c r="L133" i="19"/>
  <c r="M133" i="19"/>
  <c r="N133" i="19"/>
  <c r="O133" i="19"/>
  <c r="P133" i="19"/>
  <c r="Q133" i="19"/>
  <c r="J134" i="19"/>
  <c r="K134" i="19"/>
  <c r="L134" i="19"/>
  <c r="M134" i="19"/>
  <c r="N134" i="19"/>
  <c r="O134" i="19"/>
  <c r="P134" i="19"/>
  <c r="Q134" i="19"/>
  <c r="J135" i="19"/>
  <c r="K135" i="19"/>
  <c r="L135" i="19"/>
  <c r="M135" i="19"/>
  <c r="N135" i="19"/>
  <c r="O135" i="19"/>
  <c r="P135" i="19"/>
  <c r="Q135" i="19"/>
  <c r="J136" i="19"/>
  <c r="K136" i="19"/>
  <c r="L136" i="19"/>
  <c r="M136" i="19"/>
  <c r="N136" i="19"/>
  <c r="O136" i="19"/>
  <c r="P136" i="19"/>
  <c r="Q136" i="19"/>
  <c r="J137" i="19"/>
  <c r="K137" i="19"/>
  <c r="L137" i="19"/>
  <c r="M137" i="19"/>
  <c r="N137" i="19"/>
  <c r="O137" i="19"/>
  <c r="P137" i="19"/>
  <c r="Q137" i="19"/>
  <c r="J138" i="19"/>
  <c r="K138" i="19"/>
  <c r="L138" i="19"/>
  <c r="M138" i="19"/>
  <c r="N138" i="19"/>
  <c r="O138" i="19"/>
  <c r="P138" i="19"/>
  <c r="Q138" i="19"/>
  <c r="J139" i="19"/>
  <c r="K139" i="19"/>
  <c r="L139" i="19"/>
  <c r="M139" i="19"/>
  <c r="N139" i="19"/>
  <c r="O139" i="19"/>
  <c r="P139" i="19"/>
  <c r="Q139" i="19"/>
  <c r="J140" i="19"/>
  <c r="K140" i="19"/>
  <c r="L140" i="19"/>
  <c r="M140" i="19"/>
  <c r="N140" i="19"/>
  <c r="O140" i="19"/>
  <c r="P140" i="19"/>
  <c r="Q140" i="19"/>
  <c r="J141" i="19"/>
  <c r="K141" i="19"/>
  <c r="L141" i="19"/>
  <c r="M141" i="19"/>
  <c r="N141" i="19"/>
  <c r="O141" i="19"/>
  <c r="P141" i="19"/>
  <c r="Q141" i="19"/>
  <c r="J142" i="19"/>
  <c r="K142" i="19"/>
  <c r="L142" i="19"/>
  <c r="M142" i="19"/>
  <c r="N142" i="19"/>
  <c r="O142" i="19"/>
  <c r="P142" i="19"/>
  <c r="Q142" i="19"/>
  <c r="J143" i="19"/>
  <c r="K143" i="19"/>
  <c r="L143" i="19"/>
  <c r="M143" i="19"/>
  <c r="N143" i="19"/>
  <c r="O143" i="19"/>
  <c r="P143" i="19"/>
  <c r="Q143" i="19"/>
  <c r="J144" i="19"/>
  <c r="K144" i="19"/>
  <c r="L144" i="19"/>
  <c r="M144" i="19"/>
  <c r="N144" i="19"/>
  <c r="O144" i="19"/>
  <c r="P144" i="19"/>
  <c r="Q144" i="19"/>
  <c r="J145" i="19"/>
  <c r="K145" i="19"/>
  <c r="L145" i="19"/>
  <c r="M145" i="19"/>
  <c r="N145" i="19"/>
  <c r="O145" i="19"/>
  <c r="P145" i="19"/>
  <c r="Q145" i="19"/>
  <c r="J146" i="19"/>
  <c r="F74" i="20" s="1"/>
  <c r="K146" i="19"/>
  <c r="G74" i="20" s="1"/>
  <c r="L146" i="19"/>
  <c r="H74" i="20" s="1"/>
  <c r="M146" i="19"/>
  <c r="I74" i="20" s="1"/>
  <c r="N146" i="19"/>
  <c r="J74" i="20" s="1"/>
  <c r="O146" i="19"/>
  <c r="K74" i="20" s="1"/>
  <c r="P146" i="19"/>
  <c r="L74" i="20" s="1"/>
  <c r="Q146" i="19"/>
  <c r="M74" i="20" s="1"/>
  <c r="J147" i="19"/>
  <c r="K147" i="19"/>
  <c r="L147" i="19"/>
  <c r="M147" i="19"/>
  <c r="N147" i="19"/>
  <c r="O147" i="19"/>
  <c r="P147" i="19"/>
  <c r="Q147" i="19"/>
  <c r="J148" i="19"/>
  <c r="K148" i="19"/>
  <c r="L148" i="19"/>
  <c r="M148" i="19"/>
  <c r="N148" i="19"/>
  <c r="O148" i="19"/>
  <c r="P148" i="19"/>
  <c r="Q148" i="19"/>
  <c r="J149" i="19"/>
  <c r="K149" i="19"/>
  <c r="L149" i="19"/>
  <c r="M149" i="19"/>
  <c r="N149" i="19"/>
  <c r="O149" i="19"/>
  <c r="P149" i="19"/>
  <c r="Q149" i="19"/>
  <c r="J150" i="19"/>
  <c r="K150" i="19"/>
  <c r="L150" i="19"/>
  <c r="M150" i="19"/>
  <c r="N150" i="19"/>
  <c r="O150" i="19"/>
  <c r="P150" i="19"/>
  <c r="Q150" i="19"/>
  <c r="J151" i="19"/>
  <c r="K151" i="19"/>
  <c r="L151" i="19"/>
  <c r="M151" i="19"/>
  <c r="N151" i="19"/>
  <c r="O151" i="19"/>
  <c r="P151" i="19"/>
  <c r="Q151" i="19"/>
  <c r="J152" i="19"/>
  <c r="K152" i="19"/>
  <c r="L152" i="19"/>
  <c r="M152" i="19"/>
  <c r="N152" i="19"/>
  <c r="O152" i="19"/>
  <c r="P152" i="19"/>
  <c r="Q152" i="19"/>
  <c r="J153" i="19"/>
  <c r="K153" i="19"/>
  <c r="L153" i="19"/>
  <c r="M153" i="19"/>
  <c r="N153" i="19"/>
  <c r="O153" i="19"/>
  <c r="P153" i="19"/>
  <c r="Q153" i="19"/>
  <c r="J154" i="19"/>
  <c r="K154" i="19"/>
  <c r="L154" i="19"/>
  <c r="M154" i="19"/>
  <c r="N154" i="19"/>
  <c r="O154" i="19"/>
  <c r="P154" i="19"/>
  <c r="Q154" i="19"/>
  <c r="J155" i="19"/>
  <c r="K155" i="19"/>
  <c r="L155" i="19"/>
  <c r="M155" i="19"/>
  <c r="N155" i="19"/>
  <c r="O155" i="19"/>
  <c r="P155" i="19"/>
  <c r="Q155" i="19"/>
  <c r="J156" i="19"/>
  <c r="K156" i="19"/>
  <c r="L156" i="19"/>
  <c r="M156" i="19"/>
  <c r="N156" i="19"/>
  <c r="O156" i="19"/>
  <c r="P156" i="19"/>
  <c r="Q156" i="19"/>
  <c r="J157" i="19"/>
  <c r="K157" i="19"/>
  <c r="L157" i="19"/>
  <c r="M157" i="19"/>
  <c r="N157" i="19"/>
  <c r="O157" i="19"/>
  <c r="P157" i="19"/>
  <c r="Q157" i="19"/>
  <c r="J158" i="19"/>
  <c r="K158" i="19"/>
  <c r="L158" i="19"/>
  <c r="M158" i="19"/>
  <c r="N158" i="19"/>
  <c r="O158" i="19"/>
  <c r="P158" i="19"/>
  <c r="Q158" i="19"/>
  <c r="J159" i="19"/>
  <c r="K159" i="19"/>
  <c r="L159" i="19"/>
  <c r="M159" i="19"/>
  <c r="N159" i="19"/>
  <c r="O159" i="19"/>
  <c r="P159" i="19"/>
  <c r="Q159" i="19"/>
  <c r="J160" i="19"/>
  <c r="F122" i="20" s="1"/>
  <c r="K160" i="19"/>
  <c r="G122" i="20" s="1"/>
  <c r="L160" i="19"/>
  <c r="H122" i="20" s="1"/>
  <c r="M160" i="19"/>
  <c r="I122" i="20" s="1"/>
  <c r="N160" i="19"/>
  <c r="J122" i="20" s="1"/>
  <c r="O160" i="19"/>
  <c r="K122" i="20" s="1"/>
  <c r="P160" i="19"/>
  <c r="L122" i="20" s="1"/>
  <c r="Q160" i="19"/>
  <c r="M122" i="20" s="1"/>
  <c r="J161" i="19"/>
  <c r="K161" i="19"/>
  <c r="L161" i="19"/>
  <c r="M161" i="19"/>
  <c r="N161" i="19"/>
  <c r="O161" i="19"/>
  <c r="P161" i="19"/>
  <c r="Q161" i="19"/>
  <c r="J162" i="19"/>
  <c r="K162" i="19"/>
  <c r="L162" i="19"/>
  <c r="M162" i="19"/>
  <c r="N162" i="19"/>
  <c r="O162" i="19"/>
  <c r="P162" i="19"/>
  <c r="Q162" i="19"/>
  <c r="J163" i="19"/>
  <c r="K163" i="19"/>
  <c r="L163" i="19"/>
  <c r="M163" i="19"/>
  <c r="N163" i="19"/>
  <c r="O163" i="19"/>
  <c r="P163" i="19"/>
  <c r="Q163" i="19"/>
  <c r="J164" i="19"/>
  <c r="F21" i="20" s="1"/>
  <c r="K164" i="19"/>
  <c r="G21" i="20" s="1"/>
  <c r="L164" i="19"/>
  <c r="H21" i="20" s="1"/>
  <c r="M164" i="19"/>
  <c r="I21" i="20" s="1"/>
  <c r="N164" i="19"/>
  <c r="J21" i="20" s="1"/>
  <c r="O164" i="19"/>
  <c r="K21" i="20" s="1"/>
  <c r="P164" i="19"/>
  <c r="L21" i="20" s="1"/>
  <c r="Q164" i="19"/>
  <c r="M21" i="20" s="1"/>
  <c r="J165" i="19"/>
  <c r="F22" i="20" s="1"/>
  <c r="K165" i="19"/>
  <c r="G22" i="20" s="1"/>
  <c r="L165" i="19"/>
  <c r="H22" i="20" s="1"/>
  <c r="M165" i="19"/>
  <c r="I22" i="20" s="1"/>
  <c r="N165" i="19"/>
  <c r="J22" i="20" s="1"/>
  <c r="O165" i="19"/>
  <c r="K22" i="20" s="1"/>
  <c r="P165" i="19"/>
  <c r="L22" i="20" s="1"/>
  <c r="Q165" i="19"/>
  <c r="M22" i="20" s="1"/>
  <c r="J166" i="19"/>
  <c r="F23" i="20" s="1"/>
  <c r="K166" i="19"/>
  <c r="G23" i="20" s="1"/>
  <c r="L166" i="19"/>
  <c r="H23" i="20" s="1"/>
  <c r="M166" i="19"/>
  <c r="I23" i="20" s="1"/>
  <c r="N166" i="19"/>
  <c r="J23" i="20" s="1"/>
  <c r="O166" i="19"/>
  <c r="K23" i="20" s="1"/>
  <c r="P166" i="19"/>
  <c r="L23" i="20" s="1"/>
  <c r="Q166" i="19"/>
  <c r="M23" i="20" s="1"/>
  <c r="J167" i="19"/>
  <c r="K167" i="19"/>
  <c r="L167" i="19"/>
  <c r="M167" i="19"/>
  <c r="N167" i="19"/>
  <c r="O167" i="19"/>
  <c r="P167" i="19"/>
  <c r="Q167" i="19"/>
  <c r="J168" i="19"/>
  <c r="K168" i="19"/>
  <c r="L168" i="19"/>
  <c r="M168" i="19"/>
  <c r="N168" i="19"/>
  <c r="O168" i="19"/>
  <c r="P168" i="19"/>
  <c r="Q168" i="19"/>
  <c r="J169" i="19"/>
  <c r="K169" i="19"/>
  <c r="L169" i="19"/>
  <c r="M169" i="19"/>
  <c r="N169" i="19"/>
  <c r="O169" i="19"/>
  <c r="P169" i="19"/>
  <c r="Q169" i="19"/>
  <c r="J170" i="19"/>
  <c r="F146" i="20" s="1"/>
  <c r="K170" i="19"/>
  <c r="G146" i="20" s="1"/>
  <c r="L170" i="19"/>
  <c r="H146" i="20" s="1"/>
  <c r="M170" i="19"/>
  <c r="I146" i="20" s="1"/>
  <c r="N170" i="19"/>
  <c r="J146" i="20" s="1"/>
  <c r="O170" i="19"/>
  <c r="K146" i="20" s="1"/>
  <c r="P170" i="19"/>
  <c r="L146" i="20" s="1"/>
  <c r="Q170" i="19"/>
  <c r="M146" i="20" s="1"/>
  <c r="J171" i="19"/>
  <c r="K171" i="19"/>
  <c r="L171" i="19"/>
  <c r="M171" i="19"/>
  <c r="N171" i="19"/>
  <c r="O171" i="19"/>
  <c r="P171" i="19"/>
  <c r="Q171" i="19"/>
  <c r="J172" i="19"/>
  <c r="K172" i="19"/>
  <c r="L172" i="19"/>
  <c r="M172" i="19"/>
  <c r="N172" i="19"/>
  <c r="O172" i="19"/>
  <c r="P172" i="19"/>
  <c r="Q172" i="19"/>
  <c r="J173" i="19"/>
  <c r="K173" i="19"/>
  <c r="L173" i="19"/>
  <c r="M173" i="19"/>
  <c r="N173" i="19"/>
  <c r="O173" i="19"/>
  <c r="P173" i="19"/>
  <c r="Q173" i="19"/>
  <c r="J174" i="19"/>
  <c r="K174" i="19"/>
  <c r="L174" i="19"/>
  <c r="M174" i="19"/>
  <c r="N174" i="19"/>
  <c r="O174" i="19"/>
  <c r="P174" i="19"/>
  <c r="Q174" i="19"/>
  <c r="J175" i="19"/>
  <c r="K175" i="19"/>
  <c r="L175" i="19"/>
  <c r="M175" i="19"/>
  <c r="N175" i="19"/>
  <c r="O175" i="19"/>
  <c r="P175" i="19"/>
  <c r="Q175" i="19"/>
  <c r="J176" i="19"/>
  <c r="K176" i="19"/>
  <c r="L176" i="19"/>
  <c r="M176" i="19"/>
  <c r="N176" i="19"/>
  <c r="O176" i="19"/>
  <c r="P176" i="19"/>
  <c r="Q176" i="19"/>
  <c r="J177" i="19"/>
  <c r="K177" i="19"/>
  <c r="L177" i="19"/>
  <c r="M177" i="19"/>
  <c r="N177" i="19"/>
  <c r="O177" i="19"/>
  <c r="P177" i="19"/>
  <c r="Q177" i="19"/>
  <c r="J178" i="19"/>
  <c r="K178" i="19"/>
  <c r="L178" i="19"/>
  <c r="M178" i="19"/>
  <c r="N178" i="19"/>
  <c r="O178" i="19"/>
  <c r="P178" i="19"/>
  <c r="Q178" i="19"/>
  <c r="J179" i="19"/>
  <c r="K179" i="19"/>
  <c r="L179" i="19"/>
  <c r="M179" i="19"/>
  <c r="N179" i="19"/>
  <c r="O179" i="19"/>
  <c r="P179" i="19"/>
  <c r="Q179" i="19"/>
  <c r="J180" i="19"/>
  <c r="F102" i="20" s="1"/>
  <c r="K180" i="19"/>
  <c r="G102" i="20" s="1"/>
  <c r="L180" i="19"/>
  <c r="H102" i="20" s="1"/>
  <c r="M180" i="19"/>
  <c r="I102" i="20" s="1"/>
  <c r="N180" i="19"/>
  <c r="J102" i="20" s="1"/>
  <c r="O180" i="19"/>
  <c r="K102" i="20" s="1"/>
  <c r="P180" i="19"/>
  <c r="L102" i="20" s="1"/>
  <c r="Q180" i="19"/>
  <c r="M102" i="20" s="1"/>
  <c r="J181" i="19"/>
  <c r="K181" i="19"/>
  <c r="L181" i="19"/>
  <c r="M181" i="19"/>
  <c r="N181" i="19"/>
  <c r="O181" i="19"/>
  <c r="P181" i="19"/>
  <c r="Q181" i="19"/>
  <c r="J182" i="19"/>
  <c r="K182" i="19"/>
  <c r="L182" i="19"/>
  <c r="M182" i="19"/>
  <c r="N182" i="19"/>
  <c r="O182" i="19"/>
  <c r="P182" i="19"/>
  <c r="Q182" i="19"/>
  <c r="J183" i="19"/>
  <c r="K183" i="19"/>
  <c r="L183" i="19"/>
  <c r="M183" i="19"/>
  <c r="N183" i="19"/>
  <c r="O183" i="19"/>
  <c r="P183" i="19"/>
  <c r="Q183" i="19"/>
  <c r="J184" i="19"/>
  <c r="K184" i="19"/>
  <c r="L184" i="19"/>
  <c r="M184" i="19"/>
  <c r="N184" i="19"/>
  <c r="O184" i="19"/>
  <c r="P184" i="19"/>
  <c r="Q184" i="19"/>
  <c r="J185" i="19"/>
  <c r="F83" i="20" s="1"/>
  <c r="K185" i="19"/>
  <c r="G83" i="20" s="1"/>
  <c r="L185" i="19"/>
  <c r="H83" i="20" s="1"/>
  <c r="M185" i="19"/>
  <c r="I83" i="20" s="1"/>
  <c r="N185" i="19"/>
  <c r="J83" i="20" s="1"/>
  <c r="O185" i="19"/>
  <c r="K83" i="20" s="1"/>
  <c r="P185" i="19"/>
  <c r="L83" i="20" s="1"/>
  <c r="Q185" i="19"/>
  <c r="M83" i="20" s="1"/>
  <c r="J186" i="19"/>
  <c r="K186" i="19"/>
  <c r="L186" i="19"/>
  <c r="M186" i="19"/>
  <c r="N186" i="19"/>
  <c r="O186" i="19"/>
  <c r="P186" i="19"/>
  <c r="Q186" i="19"/>
  <c r="J187" i="19"/>
  <c r="K187" i="19"/>
  <c r="L187" i="19"/>
  <c r="M187" i="19"/>
  <c r="N187" i="19"/>
  <c r="O187" i="19"/>
  <c r="P187" i="19"/>
  <c r="Q187" i="19"/>
  <c r="J188" i="19"/>
  <c r="F55" i="20" s="1"/>
  <c r="K188" i="19"/>
  <c r="G55" i="20" s="1"/>
  <c r="L188" i="19"/>
  <c r="H55" i="20" s="1"/>
  <c r="M188" i="19"/>
  <c r="I55" i="20" s="1"/>
  <c r="N188" i="19"/>
  <c r="J55" i="20" s="1"/>
  <c r="O188" i="19"/>
  <c r="K55" i="20" s="1"/>
  <c r="P188" i="19"/>
  <c r="L55" i="20" s="1"/>
  <c r="Q188" i="19"/>
  <c r="M55" i="20" s="1"/>
  <c r="J189" i="19"/>
  <c r="K189" i="19"/>
  <c r="L189" i="19"/>
  <c r="M189" i="19"/>
  <c r="N189" i="19"/>
  <c r="O189" i="19"/>
  <c r="P189" i="19"/>
  <c r="Q189" i="19"/>
  <c r="J190" i="19"/>
  <c r="K190" i="19"/>
  <c r="L190" i="19"/>
  <c r="M190" i="19"/>
  <c r="N190" i="19"/>
  <c r="O190" i="19"/>
  <c r="P190" i="19"/>
  <c r="Q190" i="19"/>
  <c r="J191" i="19"/>
  <c r="K191" i="19"/>
  <c r="L191" i="19"/>
  <c r="M191" i="19"/>
  <c r="N191" i="19"/>
  <c r="O191" i="19"/>
  <c r="P191" i="19"/>
  <c r="Q191" i="19"/>
  <c r="J192" i="19"/>
  <c r="K192" i="19"/>
  <c r="L192" i="19"/>
  <c r="M192" i="19"/>
  <c r="N192" i="19"/>
  <c r="O192" i="19"/>
  <c r="P192" i="19"/>
  <c r="Q192" i="19"/>
  <c r="J193" i="19"/>
  <c r="K193" i="19"/>
  <c r="L193" i="19"/>
  <c r="M193" i="19"/>
  <c r="N193" i="19"/>
  <c r="O193" i="19"/>
  <c r="P193" i="19"/>
  <c r="Q193" i="19"/>
  <c r="J194" i="19"/>
  <c r="K194" i="19"/>
  <c r="L194" i="19"/>
  <c r="M194" i="19"/>
  <c r="N194" i="19"/>
  <c r="O194" i="19"/>
  <c r="P194" i="19"/>
  <c r="Q194" i="19"/>
  <c r="J195" i="19"/>
  <c r="K195" i="19"/>
  <c r="L195" i="19"/>
  <c r="M195" i="19"/>
  <c r="N195" i="19"/>
  <c r="O195" i="19"/>
  <c r="P195" i="19"/>
  <c r="Q195" i="19"/>
  <c r="J196" i="19"/>
  <c r="F118" i="20" s="1"/>
  <c r="K196" i="19"/>
  <c r="G118" i="20" s="1"/>
  <c r="L196" i="19"/>
  <c r="H118" i="20" s="1"/>
  <c r="M196" i="19"/>
  <c r="I118" i="20" s="1"/>
  <c r="N196" i="19"/>
  <c r="J118" i="20" s="1"/>
  <c r="O196" i="19"/>
  <c r="K118" i="20" s="1"/>
  <c r="P196" i="19"/>
  <c r="L118" i="20" s="1"/>
  <c r="Q196" i="19"/>
  <c r="M118" i="20" s="1"/>
  <c r="J197" i="19"/>
  <c r="K197" i="19"/>
  <c r="L197" i="19"/>
  <c r="M197" i="19"/>
  <c r="N197" i="19"/>
  <c r="O197" i="19"/>
  <c r="P197" i="19"/>
  <c r="Q197" i="19"/>
  <c r="J198" i="19"/>
  <c r="F121" i="20" s="1"/>
  <c r="K198" i="19"/>
  <c r="G121" i="20" s="1"/>
  <c r="L198" i="19"/>
  <c r="H121" i="20" s="1"/>
  <c r="M198" i="19"/>
  <c r="I121" i="20" s="1"/>
  <c r="N198" i="19"/>
  <c r="J121" i="20" s="1"/>
  <c r="O198" i="19"/>
  <c r="K121" i="20" s="1"/>
  <c r="P198" i="19"/>
  <c r="L121" i="20" s="1"/>
  <c r="Q198" i="19"/>
  <c r="M121" i="20" s="1"/>
  <c r="J199" i="19"/>
  <c r="F33" i="20" s="1"/>
  <c r="K199" i="19"/>
  <c r="G33" i="20" s="1"/>
  <c r="L199" i="19"/>
  <c r="H33" i="20" s="1"/>
  <c r="M199" i="19"/>
  <c r="I33" i="20" s="1"/>
  <c r="N199" i="19"/>
  <c r="J33" i="20" s="1"/>
  <c r="O199" i="19"/>
  <c r="K33" i="20" s="1"/>
  <c r="P199" i="19"/>
  <c r="L33" i="20" s="1"/>
  <c r="Q199" i="19"/>
  <c r="M33" i="20" s="1"/>
  <c r="J200" i="19"/>
  <c r="K200" i="19"/>
  <c r="L200" i="19"/>
  <c r="M200" i="19"/>
  <c r="N200" i="19"/>
  <c r="O200" i="19"/>
  <c r="P200" i="19"/>
  <c r="Q200" i="19"/>
  <c r="J201" i="19"/>
  <c r="K201" i="19"/>
  <c r="L201" i="19"/>
  <c r="M201" i="19"/>
  <c r="N201" i="19"/>
  <c r="O201" i="19"/>
  <c r="P201" i="19"/>
  <c r="Q201" i="19"/>
  <c r="J202" i="19"/>
  <c r="F37" i="20" s="1"/>
  <c r="K202" i="19"/>
  <c r="G37" i="20" s="1"/>
  <c r="L202" i="19"/>
  <c r="H37" i="20" s="1"/>
  <c r="M202" i="19"/>
  <c r="I37" i="20" s="1"/>
  <c r="N202" i="19"/>
  <c r="J37" i="20" s="1"/>
  <c r="O202" i="19"/>
  <c r="K37" i="20" s="1"/>
  <c r="P202" i="19"/>
  <c r="L37" i="20" s="1"/>
  <c r="Q202" i="19"/>
  <c r="M37" i="20" s="1"/>
  <c r="J203" i="19"/>
  <c r="K203" i="19"/>
  <c r="L203" i="19"/>
  <c r="M203" i="19"/>
  <c r="N203" i="19"/>
  <c r="O203" i="19"/>
  <c r="P203" i="19"/>
  <c r="Q203" i="19"/>
  <c r="J204" i="19"/>
  <c r="K204" i="19"/>
  <c r="L204" i="19"/>
  <c r="M204" i="19"/>
  <c r="N204" i="19"/>
  <c r="O204" i="19"/>
  <c r="P204" i="19"/>
  <c r="Q204" i="19"/>
  <c r="J205" i="19"/>
  <c r="K205" i="19"/>
  <c r="L205" i="19"/>
  <c r="M205" i="19"/>
  <c r="N205" i="19"/>
  <c r="O205" i="19"/>
  <c r="P205" i="19"/>
  <c r="Q205" i="19"/>
  <c r="J206" i="19"/>
  <c r="K206" i="19"/>
  <c r="L206" i="19"/>
  <c r="M206" i="19"/>
  <c r="N206" i="19"/>
  <c r="O206" i="19"/>
  <c r="P206" i="19"/>
  <c r="Q206" i="19"/>
  <c r="J207" i="19"/>
  <c r="K207" i="19"/>
  <c r="L207" i="19"/>
  <c r="M207" i="19"/>
  <c r="N207" i="19"/>
  <c r="O207" i="19"/>
  <c r="P207" i="19"/>
  <c r="Q207" i="19"/>
  <c r="J208" i="19"/>
  <c r="F137" i="20" s="1"/>
  <c r="K208" i="19"/>
  <c r="G137" i="20" s="1"/>
  <c r="L208" i="19"/>
  <c r="H137" i="20" s="1"/>
  <c r="M208" i="19"/>
  <c r="I137" i="20" s="1"/>
  <c r="N208" i="19"/>
  <c r="J137" i="20" s="1"/>
  <c r="O208" i="19"/>
  <c r="K137" i="20" s="1"/>
  <c r="P208" i="19"/>
  <c r="L137" i="20" s="1"/>
  <c r="Q208" i="19"/>
  <c r="M137" i="20" s="1"/>
  <c r="J209" i="19"/>
  <c r="K209" i="19"/>
  <c r="L209" i="19"/>
  <c r="M209" i="19"/>
  <c r="N209" i="19"/>
  <c r="O209" i="19"/>
  <c r="P209" i="19"/>
  <c r="Q209" i="19"/>
  <c r="J210" i="19"/>
  <c r="K210" i="19"/>
  <c r="L210" i="19"/>
  <c r="M210" i="19"/>
  <c r="N210" i="19"/>
  <c r="O210" i="19"/>
  <c r="P210" i="19"/>
  <c r="Q210" i="19"/>
  <c r="J211" i="19"/>
  <c r="K211" i="19"/>
  <c r="L211" i="19"/>
  <c r="M211" i="19"/>
  <c r="N211" i="19"/>
  <c r="O211" i="19"/>
  <c r="P211" i="19"/>
  <c r="Q211" i="19"/>
  <c r="J212" i="19"/>
  <c r="K212" i="19"/>
  <c r="L212" i="19"/>
  <c r="M212" i="19"/>
  <c r="N212" i="19"/>
  <c r="O212" i="19"/>
  <c r="P212" i="19"/>
  <c r="Q212" i="19"/>
  <c r="J213" i="19"/>
  <c r="K213" i="19"/>
  <c r="L213" i="19"/>
  <c r="M213" i="19"/>
  <c r="N213" i="19"/>
  <c r="O213" i="19"/>
  <c r="P213" i="19"/>
  <c r="Q213" i="19"/>
  <c r="J214" i="19"/>
  <c r="K214" i="19"/>
  <c r="L214" i="19"/>
  <c r="M214" i="19"/>
  <c r="N214" i="19"/>
  <c r="O214" i="19"/>
  <c r="P214" i="19"/>
  <c r="Q214" i="19"/>
  <c r="J215" i="19"/>
  <c r="F150" i="20" s="1"/>
  <c r="K215" i="19"/>
  <c r="G150" i="20" s="1"/>
  <c r="L215" i="19"/>
  <c r="H150" i="20" s="1"/>
  <c r="M215" i="19"/>
  <c r="I150" i="20" s="1"/>
  <c r="N215" i="19"/>
  <c r="J150" i="20" s="1"/>
  <c r="O215" i="19"/>
  <c r="K150" i="20" s="1"/>
  <c r="P215" i="19"/>
  <c r="L150" i="20" s="1"/>
  <c r="Q215" i="19"/>
  <c r="M150" i="20" s="1"/>
  <c r="J216" i="19"/>
  <c r="F132" i="20" s="1"/>
  <c r="K216" i="19"/>
  <c r="G132" i="20" s="1"/>
  <c r="L216" i="19"/>
  <c r="H132" i="20" s="1"/>
  <c r="M216" i="19"/>
  <c r="I132" i="20" s="1"/>
  <c r="N216" i="19"/>
  <c r="J132" i="20" s="1"/>
  <c r="O216" i="19"/>
  <c r="K132" i="20" s="1"/>
  <c r="P216" i="19"/>
  <c r="L132" i="20" s="1"/>
  <c r="Q216" i="19"/>
  <c r="M132" i="20" s="1"/>
  <c r="J217" i="19"/>
  <c r="F151" i="20" s="1"/>
  <c r="K217" i="19"/>
  <c r="G151" i="20" s="1"/>
  <c r="L217" i="19"/>
  <c r="H151" i="20" s="1"/>
  <c r="M217" i="19"/>
  <c r="I151" i="20" s="1"/>
  <c r="N217" i="19"/>
  <c r="J151" i="20" s="1"/>
  <c r="O217" i="19"/>
  <c r="K151" i="20" s="1"/>
  <c r="P217" i="19"/>
  <c r="L151" i="20" s="1"/>
  <c r="Q217" i="19"/>
  <c r="M151" i="20" s="1"/>
  <c r="J218" i="19"/>
  <c r="K218" i="19"/>
  <c r="L218" i="19"/>
  <c r="M218" i="19"/>
  <c r="N218" i="19"/>
  <c r="O218" i="19"/>
  <c r="P218" i="19"/>
  <c r="Q218" i="19"/>
  <c r="J219" i="19"/>
  <c r="K219" i="19"/>
  <c r="L219" i="19"/>
  <c r="M219" i="19"/>
  <c r="N219" i="19"/>
  <c r="O219" i="19"/>
  <c r="P219" i="19"/>
  <c r="Q219" i="19"/>
  <c r="J220" i="19"/>
  <c r="K220" i="19"/>
  <c r="L220" i="19"/>
  <c r="M220" i="19"/>
  <c r="N220" i="19"/>
  <c r="O220" i="19"/>
  <c r="P220" i="19"/>
  <c r="Q220" i="19"/>
  <c r="J221" i="19"/>
  <c r="K221" i="19"/>
  <c r="L221" i="19"/>
  <c r="M221" i="19"/>
  <c r="N221" i="19"/>
  <c r="O221" i="19"/>
  <c r="P221" i="19"/>
  <c r="Q221" i="19"/>
  <c r="J222" i="19"/>
  <c r="K222" i="19"/>
  <c r="L222" i="19"/>
  <c r="M222" i="19"/>
  <c r="N222" i="19"/>
  <c r="O222" i="19"/>
  <c r="P222" i="19"/>
  <c r="Q222" i="19"/>
  <c r="J223" i="19"/>
  <c r="K223" i="19"/>
  <c r="L223" i="19"/>
  <c r="M223" i="19"/>
  <c r="N223" i="19"/>
  <c r="O223" i="19"/>
  <c r="P223" i="19"/>
  <c r="Q223" i="19"/>
  <c r="J224" i="19"/>
  <c r="K224" i="19"/>
  <c r="L224" i="19"/>
  <c r="M224" i="19"/>
  <c r="N224" i="19"/>
  <c r="O224" i="19"/>
  <c r="P224" i="19"/>
  <c r="Q224" i="19"/>
  <c r="J225" i="19"/>
  <c r="F64" i="20" s="1"/>
  <c r="K225" i="19"/>
  <c r="G64" i="20" s="1"/>
  <c r="L225" i="19"/>
  <c r="H64" i="20" s="1"/>
  <c r="M225" i="19"/>
  <c r="I64" i="20" s="1"/>
  <c r="N225" i="19"/>
  <c r="J64" i="20" s="1"/>
  <c r="O225" i="19"/>
  <c r="K64" i="20" s="1"/>
  <c r="P225" i="19"/>
  <c r="L64" i="20" s="1"/>
  <c r="Q225" i="19"/>
  <c r="M64" i="20" s="1"/>
  <c r="J226" i="19"/>
  <c r="K226" i="19"/>
  <c r="L226" i="19"/>
  <c r="M226" i="19"/>
  <c r="N226" i="19"/>
  <c r="O226" i="19"/>
  <c r="P226" i="19"/>
  <c r="Q226" i="19"/>
  <c r="J227" i="19"/>
  <c r="F9" i="20" s="1"/>
  <c r="K227" i="19"/>
  <c r="G9" i="20" s="1"/>
  <c r="L227" i="19"/>
  <c r="H9" i="20" s="1"/>
  <c r="M227" i="19"/>
  <c r="I9" i="20" s="1"/>
  <c r="N227" i="19"/>
  <c r="J9" i="20" s="1"/>
  <c r="O227" i="19"/>
  <c r="K9" i="20" s="1"/>
  <c r="P227" i="19"/>
  <c r="L9" i="20" s="1"/>
  <c r="Q227" i="19"/>
  <c r="M9" i="20" s="1"/>
  <c r="J228" i="19"/>
  <c r="K228" i="19"/>
  <c r="L228" i="19"/>
  <c r="M228" i="19"/>
  <c r="N228" i="19"/>
  <c r="O228" i="19"/>
  <c r="P228" i="19"/>
  <c r="Q228" i="19"/>
  <c r="J229" i="19"/>
  <c r="F11" i="20" s="1"/>
  <c r="K229" i="19"/>
  <c r="G11" i="20" s="1"/>
  <c r="L229" i="19"/>
  <c r="H11" i="20" s="1"/>
  <c r="M229" i="19"/>
  <c r="I11" i="20" s="1"/>
  <c r="N229" i="19"/>
  <c r="J11" i="20" s="1"/>
  <c r="O229" i="19"/>
  <c r="K11" i="20" s="1"/>
  <c r="P229" i="19"/>
  <c r="L11" i="20" s="1"/>
  <c r="Q229" i="19"/>
  <c r="M11" i="20" s="1"/>
  <c r="J230" i="19"/>
  <c r="K230" i="19"/>
  <c r="L230" i="19"/>
  <c r="M230" i="19"/>
  <c r="N230" i="19"/>
  <c r="O230" i="19"/>
  <c r="P230" i="19"/>
  <c r="Q230" i="19"/>
  <c r="J231" i="19"/>
  <c r="K231" i="19"/>
  <c r="L231" i="19"/>
  <c r="M231" i="19"/>
  <c r="N231" i="19"/>
  <c r="O231" i="19"/>
  <c r="P231" i="19"/>
  <c r="Q231" i="19"/>
  <c r="J232" i="19"/>
  <c r="F39" i="20" s="1"/>
  <c r="K232" i="19"/>
  <c r="G39" i="20" s="1"/>
  <c r="L232" i="19"/>
  <c r="H39" i="20" s="1"/>
  <c r="M232" i="19"/>
  <c r="I39" i="20" s="1"/>
  <c r="N232" i="19"/>
  <c r="J39" i="20" s="1"/>
  <c r="O232" i="19"/>
  <c r="K39" i="20" s="1"/>
  <c r="P232" i="19"/>
  <c r="L39" i="20" s="1"/>
  <c r="Q232" i="19"/>
  <c r="M39" i="20" s="1"/>
  <c r="J233" i="19"/>
  <c r="K233" i="19"/>
  <c r="L233" i="19"/>
  <c r="M233" i="19"/>
  <c r="N233" i="19"/>
  <c r="O233" i="19"/>
  <c r="P233" i="19"/>
  <c r="Q233" i="19"/>
  <c r="J234" i="19"/>
  <c r="K234" i="19"/>
  <c r="L234" i="19"/>
  <c r="M234" i="19"/>
  <c r="N234" i="19"/>
  <c r="O234" i="19"/>
  <c r="P234" i="19"/>
  <c r="Q234" i="19"/>
  <c r="J235" i="19"/>
  <c r="K235" i="19"/>
  <c r="L235" i="19"/>
  <c r="M235" i="19"/>
  <c r="N235" i="19"/>
  <c r="O235" i="19"/>
  <c r="P235" i="19"/>
  <c r="Q235" i="19"/>
  <c r="J236" i="19"/>
  <c r="K236" i="19"/>
  <c r="L236" i="19"/>
  <c r="M236" i="19"/>
  <c r="N236" i="19"/>
  <c r="O236" i="19"/>
  <c r="P236" i="19"/>
  <c r="Q236" i="19"/>
  <c r="J237" i="19"/>
  <c r="K237" i="19"/>
  <c r="L237" i="19"/>
  <c r="M237" i="19"/>
  <c r="N237" i="19"/>
  <c r="O237" i="19"/>
  <c r="P237" i="19"/>
  <c r="Q237" i="19"/>
  <c r="J238" i="19"/>
  <c r="F108" i="20" s="1"/>
  <c r="K238" i="19"/>
  <c r="G108" i="20" s="1"/>
  <c r="L238" i="19"/>
  <c r="H108" i="20" s="1"/>
  <c r="M238" i="19"/>
  <c r="I108" i="20" s="1"/>
  <c r="N238" i="19"/>
  <c r="J108" i="20" s="1"/>
  <c r="O238" i="19"/>
  <c r="K108" i="20" s="1"/>
  <c r="P238" i="19"/>
  <c r="L108" i="20" s="1"/>
  <c r="Q238" i="19"/>
  <c r="M108" i="20" s="1"/>
  <c r="J239" i="19"/>
  <c r="K239" i="19"/>
  <c r="L239" i="19"/>
  <c r="M239" i="19"/>
  <c r="N239" i="19"/>
  <c r="O239" i="19"/>
  <c r="P239" i="19"/>
  <c r="Q239" i="19"/>
  <c r="J240" i="19"/>
  <c r="K240" i="19"/>
  <c r="L240" i="19"/>
  <c r="M240" i="19"/>
  <c r="N240" i="19"/>
  <c r="O240" i="19"/>
  <c r="P240" i="19"/>
  <c r="Q240" i="19"/>
  <c r="J241" i="19"/>
  <c r="K241" i="19"/>
  <c r="L241" i="19"/>
  <c r="M241" i="19"/>
  <c r="N241" i="19"/>
  <c r="O241" i="19"/>
  <c r="P241" i="19"/>
  <c r="Q241" i="19"/>
  <c r="J242" i="19"/>
  <c r="K242" i="19"/>
  <c r="L242" i="19"/>
  <c r="M242" i="19"/>
  <c r="N242" i="19"/>
  <c r="O242" i="19"/>
  <c r="P242" i="19"/>
  <c r="Q242" i="19"/>
  <c r="J243" i="19"/>
  <c r="K243" i="19"/>
  <c r="L243" i="19"/>
  <c r="M243" i="19"/>
  <c r="N243" i="19"/>
  <c r="O243" i="19"/>
  <c r="P243" i="19"/>
  <c r="Q243" i="19"/>
  <c r="J244" i="19"/>
  <c r="K244" i="19"/>
  <c r="L244" i="19"/>
  <c r="M244" i="19"/>
  <c r="N244" i="19"/>
  <c r="O244" i="19"/>
  <c r="P244" i="19"/>
  <c r="Q244" i="19"/>
  <c r="J245" i="19"/>
  <c r="K245" i="19"/>
  <c r="L245" i="19"/>
  <c r="M245" i="19"/>
  <c r="N245" i="19"/>
  <c r="O245" i="19"/>
  <c r="P245" i="19"/>
  <c r="Q245" i="19"/>
  <c r="J6" i="19"/>
  <c r="F27" i="20" s="1"/>
  <c r="K6" i="19"/>
  <c r="G27" i="20" s="1"/>
  <c r="L6" i="19"/>
  <c r="H27" i="20" s="1"/>
  <c r="M6" i="19"/>
  <c r="I27" i="20" s="1"/>
  <c r="N6" i="19"/>
  <c r="J27" i="20" s="1"/>
  <c r="O6" i="19"/>
  <c r="K27" i="20" s="1"/>
  <c r="P6" i="19"/>
  <c r="L27" i="20" s="1"/>
  <c r="Q6" i="19"/>
  <c r="M27" i="20" s="1"/>
  <c r="J7" i="19"/>
  <c r="F44" i="20" s="1"/>
  <c r="K7" i="19"/>
  <c r="G44" i="20" s="1"/>
  <c r="L7" i="19"/>
  <c r="H44" i="20" s="1"/>
  <c r="M7" i="19"/>
  <c r="I44" i="20" s="1"/>
  <c r="N7" i="19"/>
  <c r="J44" i="20" s="1"/>
  <c r="O7" i="19"/>
  <c r="K44" i="20" s="1"/>
  <c r="P7" i="19"/>
  <c r="L44" i="20" s="1"/>
  <c r="Q7" i="19"/>
  <c r="M44" i="20" s="1"/>
  <c r="J8" i="19"/>
  <c r="F136" i="20" s="1"/>
  <c r="K8" i="19"/>
  <c r="G136" i="20" s="1"/>
  <c r="L8" i="19"/>
  <c r="H136" i="20" s="1"/>
  <c r="M8" i="19"/>
  <c r="I136" i="20" s="1"/>
  <c r="N8" i="19"/>
  <c r="J136" i="20" s="1"/>
  <c r="O8" i="19"/>
  <c r="K136" i="20" s="1"/>
  <c r="P8" i="19"/>
  <c r="L136" i="20" s="1"/>
  <c r="Q8" i="19"/>
  <c r="M136" i="20" s="1"/>
  <c r="J9" i="19"/>
  <c r="F143" i="20" s="1"/>
  <c r="K9" i="19"/>
  <c r="G143" i="20" s="1"/>
  <c r="L9" i="19"/>
  <c r="H143" i="20" s="1"/>
  <c r="M9" i="19"/>
  <c r="I143" i="20" s="1"/>
  <c r="N9" i="19"/>
  <c r="J143" i="20" s="1"/>
  <c r="O9" i="19"/>
  <c r="K143" i="20" s="1"/>
  <c r="P9" i="19"/>
  <c r="L143" i="20" s="1"/>
  <c r="Q9" i="19"/>
  <c r="M143" i="20" s="1"/>
  <c r="J10" i="19"/>
  <c r="F77" i="20" s="1"/>
  <c r="K10" i="19"/>
  <c r="G77" i="20" s="1"/>
  <c r="L10" i="19"/>
  <c r="H77" i="20" s="1"/>
  <c r="M10" i="19"/>
  <c r="I77" i="20" s="1"/>
  <c r="N10" i="19"/>
  <c r="J77" i="20" s="1"/>
  <c r="O10" i="19"/>
  <c r="K77" i="20" s="1"/>
  <c r="P10" i="19"/>
  <c r="L77" i="20" s="1"/>
  <c r="Q10" i="19"/>
  <c r="M77" i="20" s="1"/>
  <c r="J11" i="19"/>
  <c r="F78" i="20" s="1"/>
  <c r="K11" i="19"/>
  <c r="G78" i="20" s="1"/>
  <c r="L11" i="19"/>
  <c r="H78" i="20" s="1"/>
  <c r="M11" i="19"/>
  <c r="I78" i="20" s="1"/>
  <c r="N11" i="19"/>
  <c r="J78" i="20" s="1"/>
  <c r="O11" i="19"/>
  <c r="K78" i="20" s="1"/>
  <c r="P11" i="19"/>
  <c r="L78" i="20" s="1"/>
  <c r="Q11" i="19"/>
  <c r="M78" i="20" s="1"/>
  <c r="J12" i="19"/>
  <c r="F81" i="20" s="1"/>
  <c r="K12" i="19"/>
  <c r="G81" i="20" s="1"/>
  <c r="L12" i="19"/>
  <c r="H81" i="20" s="1"/>
  <c r="M12" i="19"/>
  <c r="I81" i="20" s="1"/>
  <c r="N12" i="19"/>
  <c r="J81" i="20" s="1"/>
  <c r="O12" i="19"/>
  <c r="K81" i="20" s="1"/>
  <c r="P12" i="19"/>
  <c r="L81" i="20" s="1"/>
  <c r="Q12" i="19"/>
  <c r="M81" i="20" s="1"/>
  <c r="J13" i="19"/>
  <c r="F144" i="20" s="1"/>
  <c r="K13" i="19"/>
  <c r="G144" i="20" s="1"/>
  <c r="L13" i="19"/>
  <c r="H144" i="20" s="1"/>
  <c r="M13" i="19"/>
  <c r="I144" i="20" s="1"/>
  <c r="N13" i="19"/>
  <c r="J144" i="20" s="1"/>
  <c r="O13" i="19"/>
  <c r="K144" i="20" s="1"/>
  <c r="P13" i="19"/>
  <c r="L144" i="20" s="1"/>
  <c r="Q13" i="19"/>
  <c r="M144" i="20" s="1"/>
  <c r="J14" i="19"/>
  <c r="F90" i="20" s="1"/>
  <c r="K14" i="19"/>
  <c r="G90" i="20" s="1"/>
  <c r="L14" i="19"/>
  <c r="H90" i="20" s="1"/>
  <c r="M14" i="19"/>
  <c r="I90" i="20" s="1"/>
  <c r="N14" i="19"/>
  <c r="J90" i="20" s="1"/>
  <c r="O14" i="19"/>
  <c r="K90" i="20" s="1"/>
  <c r="P14" i="19"/>
  <c r="L90" i="20" s="1"/>
  <c r="Q14" i="19"/>
  <c r="M90" i="20" s="1"/>
  <c r="Q5" i="19"/>
  <c r="P5" i="19"/>
  <c r="O5" i="19"/>
  <c r="N5" i="19"/>
  <c r="M5" i="19"/>
  <c r="L5" i="19"/>
  <c r="K5" i="19"/>
  <c r="J5" i="19"/>
  <c r="J871" i="19" l="1"/>
  <c r="F50" i="20"/>
  <c r="K871" i="19"/>
  <c r="G50" i="20"/>
  <c r="L871" i="19"/>
  <c r="H50" i="20"/>
  <c r="M871" i="19"/>
  <c r="I50" i="20"/>
  <c r="N871" i="19"/>
  <c r="J50" i="20"/>
  <c r="O871" i="19"/>
  <c r="K50" i="20"/>
  <c r="P871" i="19"/>
  <c r="L50" i="20"/>
  <c r="Q871" i="19"/>
  <c r="M50" i="20"/>
  <c r="M14" i="20"/>
  <c r="L14" i="20"/>
  <c r="K14" i="20"/>
  <c r="J14" i="20"/>
  <c r="I14" i="20"/>
  <c r="H14" i="20"/>
  <c r="G14" i="20"/>
  <c r="F14" i="20"/>
  <c r="M10" i="20"/>
  <c r="L10" i="20"/>
  <c r="K10" i="20"/>
  <c r="J10" i="20"/>
  <c r="I10" i="20"/>
  <c r="H10" i="20"/>
  <c r="G10" i="20"/>
  <c r="F10" i="20"/>
  <c r="M107" i="20"/>
  <c r="L107" i="20"/>
  <c r="K107" i="20"/>
  <c r="J107" i="20"/>
  <c r="I107" i="20"/>
  <c r="H107" i="20"/>
  <c r="G107" i="20"/>
  <c r="F107" i="20"/>
  <c r="M116" i="20"/>
  <c r="L116" i="20"/>
  <c r="K116" i="20"/>
  <c r="J116" i="20"/>
  <c r="I116" i="20"/>
  <c r="H116" i="20"/>
  <c r="G116" i="20"/>
  <c r="F116" i="20"/>
  <c r="M101" i="20"/>
  <c r="L101" i="20"/>
  <c r="K101" i="20"/>
  <c r="J101" i="20"/>
  <c r="I101" i="20"/>
  <c r="H101" i="20"/>
  <c r="G101" i="20"/>
  <c r="F101" i="20"/>
  <c r="M120" i="20"/>
  <c r="L120" i="20"/>
  <c r="K120" i="20"/>
  <c r="J120" i="20"/>
  <c r="I120" i="20"/>
  <c r="H120" i="20"/>
  <c r="G120" i="20"/>
  <c r="F120" i="20"/>
  <c r="M98" i="20"/>
  <c r="L98" i="20"/>
  <c r="K98" i="20"/>
  <c r="J98" i="20"/>
  <c r="I98" i="20"/>
  <c r="H98" i="20"/>
  <c r="G98" i="20"/>
  <c r="F98" i="20"/>
  <c r="M95" i="20"/>
  <c r="L95" i="20"/>
  <c r="K95" i="20"/>
  <c r="J95" i="20"/>
  <c r="I95" i="20"/>
  <c r="H95" i="20"/>
  <c r="G95" i="20"/>
  <c r="F95" i="20"/>
  <c r="M93" i="20"/>
  <c r="L93" i="20"/>
  <c r="K93" i="20"/>
  <c r="J93" i="20"/>
  <c r="I93" i="20"/>
  <c r="H93" i="20"/>
  <c r="G93" i="20"/>
  <c r="F93" i="20"/>
  <c r="M85" i="20"/>
  <c r="L85" i="20"/>
  <c r="K85" i="20"/>
  <c r="J85" i="20"/>
  <c r="I85" i="20"/>
  <c r="H85" i="20"/>
  <c r="G85" i="20"/>
  <c r="F85" i="20"/>
  <c r="M17" i="20"/>
  <c r="L17" i="20"/>
  <c r="K17" i="20"/>
  <c r="J17" i="20"/>
  <c r="I17" i="20"/>
  <c r="H17" i="20"/>
  <c r="G17" i="20"/>
  <c r="F17" i="20"/>
  <c r="M117" i="20"/>
  <c r="L117" i="20"/>
  <c r="K117" i="20"/>
  <c r="J117" i="20"/>
  <c r="I117" i="20"/>
  <c r="H117" i="20"/>
  <c r="G117" i="20"/>
  <c r="F117" i="20"/>
  <c r="M113" i="20"/>
  <c r="L113" i="20"/>
  <c r="K113" i="20"/>
  <c r="J113" i="20"/>
  <c r="I113" i="20"/>
  <c r="H113" i="20"/>
  <c r="G113" i="20"/>
  <c r="F113" i="20"/>
  <c r="M141" i="20"/>
  <c r="L141" i="20"/>
  <c r="K141" i="20"/>
  <c r="J141" i="20"/>
  <c r="I141" i="20"/>
  <c r="H141" i="20"/>
  <c r="G141" i="20"/>
  <c r="F141" i="20"/>
  <c r="M138" i="20"/>
  <c r="L138" i="20"/>
  <c r="K138" i="20"/>
  <c r="J138" i="20"/>
  <c r="I138" i="20"/>
  <c r="H138" i="20"/>
  <c r="G138" i="20"/>
  <c r="F138" i="20"/>
  <c r="M110" i="20"/>
  <c r="L110" i="20"/>
  <c r="K110" i="20"/>
  <c r="J110" i="20"/>
  <c r="I110" i="20"/>
  <c r="H110" i="20"/>
  <c r="G110" i="20"/>
  <c r="F110" i="20"/>
  <c r="M109" i="20"/>
  <c r="L109" i="20"/>
  <c r="K109" i="20"/>
  <c r="J109" i="20"/>
  <c r="I109" i="20"/>
  <c r="H109" i="20"/>
  <c r="G109" i="20"/>
  <c r="F109" i="20"/>
  <c r="M105" i="20"/>
  <c r="L105" i="20"/>
  <c r="K105" i="20"/>
  <c r="J105" i="20"/>
  <c r="I105" i="20"/>
  <c r="H105" i="20"/>
  <c r="G105" i="20"/>
  <c r="F105" i="20"/>
  <c r="M104" i="20"/>
  <c r="L104" i="20"/>
  <c r="K104" i="20"/>
  <c r="J104" i="20"/>
  <c r="I104" i="20"/>
  <c r="H104" i="20"/>
  <c r="G104" i="20"/>
  <c r="F104" i="20"/>
  <c r="M51" i="20"/>
  <c r="L51" i="20"/>
  <c r="K51" i="20"/>
  <c r="J51" i="20"/>
  <c r="I51" i="20"/>
  <c r="H51" i="20"/>
  <c r="G51" i="20"/>
  <c r="F51" i="20"/>
  <c r="M53" i="20"/>
  <c r="L53" i="20"/>
  <c r="K53" i="20"/>
  <c r="J53" i="20"/>
  <c r="I53" i="20"/>
  <c r="H53" i="20"/>
  <c r="G53" i="20"/>
  <c r="F53" i="20"/>
  <c r="M148" i="20"/>
  <c r="L148" i="20"/>
  <c r="K148" i="20"/>
  <c r="J148" i="20"/>
  <c r="I148" i="20"/>
  <c r="H148" i="20"/>
  <c r="G148" i="20"/>
  <c r="F148" i="20"/>
  <c r="M140" i="20"/>
  <c r="L140" i="20"/>
  <c r="K140" i="20"/>
  <c r="J140" i="20"/>
  <c r="I140" i="20"/>
  <c r="H140" i="20"/>
  <c r="G140" i="20"/>
  <c r="F140" i="20"/>
  <c r="M152" i="20"/>
  <c r="L152" i="20"/>
  <c r="K152" i="20"/>
  <c r="J152" i="20"/>
  <c r="I152" i="20"/>
  <c r="H152" i="20"/>
  <c r="G152" i="20"/>
  <c r="F152" i="20"/>
  <c r="M20" i="20"/>
  <c r="L20" i="20"/>
  <c r="K20" i="20"/>
  <c r="J20" i="20"/>
  <c r="I20" i="20"/>
  <c r="H20" i="20"/>
  <c r="G20" i="20"/>
  <c r="F20" i="20"/>
  <c r="M16" i="20"/>
  <c r="L16" i="20"/>
  <c r="K16" i="20"/>
  <c r="J16" i="20"/>
  <c r="I16" i="20"/>
  <c r="H16" i="20"/>
  <c r="G16" i="20"/>
  <c r="F16" i="20"/>
  <c r="M15" i="20"/>
  <c r="L15" i="20"/>
  <c r="K15" i="20"/>
  <c r="J15" i="20"/>
  <c r="I15" i="20"/>
  <c r="H15" i="20"/>
  <c r="G15" i="20"/>
  <c r="F15" i="20"/>
  <c r="M25" i="20"/>
  <c r="L25" i="20"/>
  <c r="K25" i="20"/>
  <c r="J25" i="20"/>
  <c r="I25" i="20"/>
  <c r="H25" i="20"/>
  <c r="G25" i="20"/>
  <c r="F25" i="20"/>
  <c r="M58" i="20"/>
  <c r="L58" i="20"/>
  <c r="K58" i="20"/>
  <c r="J58" i="20"/>
  <c r="I58" i="20"/>
  <c r="H58" i="20"/>
  <c r="G58" i="20"/>
  <c r="F58" i="20"/>
  <c r="M57" i="20"/>
  <c r="L57" i="20"/>
  <c r="K57" i="20"/>
  <c r="J57" i="20"/>
  <c r="I57" i="20"/>
  <c r="H57" i="20"/>
  <c r="G57" i="20"/>
  <c r="F57" i="20"/>
  <c r="M63" i="20"/>
  <c r="L63" i="20"/>
  <c r="K63" i="20"/>
  <c r="J63" i="20"/>
  <c r="I63" i="20"/>
  <c r="H63" i="20"/>
  <c r="G63" i="20"/>
  <c r="F63" i="20"/>
  <c r="M87" i="20"/>
  <c r="L87" i="20"/>
  <c r="K87" i="20"/>
  <c r="J87" i="20"/>
  <c r="I87" i="20"/>
  <c r="H87" i="20"/>
  <c r="G87" i="20"/>
  <c r="F87" i="20"/>
  <c r="M62" i="20"/>
  <c r="L62" i="20"/>
  <c r="K62" i="20"/>
  <c r="J62" i="20"/>
  <c r="I62" i="20"/>
  <c r="H62" i="20"/>
  <c r="G62" i="20"/>
  <c r="F62" i="20"/>
  <c r="M61" i="20"/>
  <c r="L61" i="20"/>
  <c r="K61" i="20"/>
  <c r="J61" i="20"/>
  <c r="I61" i="20"/>
  <c r="H61" i="20"/>
  <c r="G61" i="20"/>
  <c r="F61" i="20"/>
  <c r="M60" i="20"/>
  <c r="L60" i="20"/>
  <c r="K60" i="20"/>
  <c r="J60" i="20"/>
  <c r="I60" i="20"/>
  <c r="H60" i="20"/>
  <c r="G60" i="20"/>
  <c r="F60" i="20"/>
  <c r="M59" i="20"/>
  <c r="L59" i="20"/>
  <c r="K59" i="20"/>
  <c r="J59" i="20"/>
  <c r="I59" i="20"/>
  <c r="H59" i="20"/>
  <c r="G59" i="20"/>
  <c r="F59" i="20"/>
  <c r="M114" i="20"/>
  <c r="L114" i="20"/>
  <c r="K114" i="20"/>
  <c r="J114" i="20"/>
  <c r="I114" i="20"/>
  <c r="H114" i="20"/>
  <c r="G114" i="20"/>
  <c r="F114" i="20"/>
  <c r="M112" i="20"/>
  <c r="L112" i="20"/>
  <c r="K112" i="20"/>
  <c r="J112" i="20"/>
  <c r="I112" i="20"/>
  <c r="H112" i="20"/>
  <c r="G112" i="20"/>
  <c r="F112" i="20"/>
  <c r="M111" i="20"/>
  <c r="L111" i="20"/>
  <c r="K111" i="20"/>
  <c r="J111" i="20"/>
  <c r="I111" i="20"/>
  <c r="H111" i="20"/>
  <c r="G111" i="20"/>
  <c r="F111" i="20"/>
  <c r="M69" i="20"/>
  <c r="L69" i="20"/>
  <c r="K69" i="20"/>
  <c r="J69" i="20"/>
  <c r="I69" i="20"/>
  <c r="H69" i="20"/>
  <c r="G69" i="20"/>
  <c r="F69" i="20"/>
  <c r="M76" i="20"/>
  <c r="L76" i="20"/>
  <c r="K76" i="20"/>
  <c r="J76" i="20"/>
  <c r="I76" i="20"/>
  <c r="H76" i="20"/>
  <c r="G76" i="20"/>
  <c r="F76" i="20"/>
  <c r="M126" i="20"/>
  <c r="L126" i="20"/>
  <c r="K126" i="20"/>
  <c r="J126" i="20"/>
  <c r="I126" i="20"/>
  <c r="H126" i="20"/>
  <c r="G126" i="20"/>
  <c r="F126" i="20"/>
  <c r="M130" i="20"/>
  <c r="L130" i="20"/>
  <c r="K130" i="20"/>
  <c r="J130" i="20"/>
  <c r="I130" i="20"/>
  <c r="H130" i="20"/>
  <c r="G130" i="20"/>
  <c r="F130" i="20"/>
  <c r="M129" i="20"/>
  <c r="L129" i="20"/>
  <c r="K129" i="20"/>
  <c r="J129" i="20"/>
  <c r="I129" i="20"/>
  <c r="H129" i="20"/>
  <c r="G129" i="20"/>
  <c r="F129" i="20"/>
  <c r="M128" i="20"/>
  <c r="L128" i="20"/>
  <c r="K128" i="20"/>
  <c r="J128" i="20"/>
  <c r="I128" i="20"/>
  <c r="H128" i="20"/>
  <c r="G128" i="20"/>
  <c r="F128" i="20"/>
  <c r="M123" i="20"/>
  <c r="L123" i="20"/>
  <c r="K123" i="20"/>
  <c r="J123" i="20"/>
  <c r="I123" i="20"/>
  <c r="H123" i="20"/>
  <c r="G123" i="20"/>
  <c r="F123" i="20"/>
  <c r="M68" i="20"/>
  <c r="L68" i="20"/>
  <c r="K68" i="20"/>
  <c r="J68" i="20"/>
  <c r="I68" i="20"/>
  <c r="H68" i="20"/>
  <c r="G68" i="20"/>
  <c r="F68" i="20"/>
  <c r="M43" i="20"/>
  <c r="L43" i="20"/>
  <c r="K43" i="20"/>
  <c r="J43" i="20"/>
  <c r="I43" i="20"/>
  <c r="H43" i="20"/>
  <c r="G43" i="20"/>
  <c r="F43" i="20"/>
  <c r="M73" i="20"/>
  <c r="L73" i="20"/>
  <c r="K73" i="20"/>
  <c r="J73" i="20"/>
  <c r="I73" i="20"/>
  <c r="H73" i="20"/>
  <c r="G73" i="20"/>
  <c r="F73" i="20"/>
  <c r="M48" i="20"/>
  <c r="L48" i="20"/>
  <c r="K48" i="20"/>
  <c r="J48" i="20"/>
  <c r="I48" i="20"/>
  <c r="H48" i="20"/>
  <c r="G48" i="20"/>
  <c r="F48" i="20"/>
  <c r="M52" i="20"/>
  <c r="L52" i="20"/>
  <c r="K52" i="20"/>
  <c r="J52" i="20"/>
  <c r="I52" i="20"/>
  <c r="H52" i="20"/>
  <c r="G52" i="20"/>
  <c r="F52" i="20"/>
  <c r="M47" i="20"/>
  <c r="L47" i="20"/>
  <c r="K47" i="20"/>
  <c r="J47" i="20"/>
  <c r="I47" i="20"/>
  <c r="H47" i="20"/>
  <c r="G47" i="20"/>
  <c r="F47" i="20"/>
  <c r="M46" i="20"/>
  <c r="L46" i="20"/>
  <c r="K46" i="20"/>
  <c r="J46" i="20"/>
  <c r="I46" i="20"/>
  <c r="H46" i="20"/>
  <c r="G46" i="20"/>
  <c r="F46" i="20"/>
  <c r="M106" i="20"/>
  <c r="L106" i="20"/>
  <c r="K106" i="20"/>
  <c r="J106" i="20"/>
  <c r="I106" i="20"/>
  <c r="H106" i="20"/>
  <c r="G106" i="20"/>
  <c r="F106" i="20"/>
  <c r="M96" i="20"/>
  <c r="L96" i="20"/>
  <c r="K96" i="20"/>
  <c r="J96" i="20"/>
  <c r="I96" i="20"/>
  <c r="H96" i="20"/>
  <c r="G96" i="20"/>
  <c r="F96" i="20"/>
  <c r="M94" i="20"/>
  <c r="L94" i="20"/>
  <c r="K94" i="20"/>
  <c r="J94" i="20"/>
  <c r="I94" i="20"/>
  <c r="H94" i="20"/>
  <c r="G94" i="20"/>
  <c r="F94" i="20"/>
  <c r="M92" i="20"/>
  <c r="L92" i="20"/>
  <c r="K92" i="20"/>
  <c r="J92" i="20"/>
  <c r="I92" i="20"/>
  <c r="H92" i="20"/>
  <c r="G92" i="20"/>
  <c r="F92" i="20"/>
  <c r="M103" i="20"/>
  <c r="L103" i="20"/>
  <c r="K103" i="20"/>
  <c r="J103" i="20"/>
  <c r="I103" i="20"/>
  <c r="H103" i="20"/>
  <c r="G103" i="20"/>
  <c r="F103" i="20"/>
  <c r="M91" i="20"/>
  <c r="L91" i="20"/>
  <c r="K91" i="20"/>
  <c r="J91" i="20"/>
  <c r="I91" i="20"/>
  <c r="H91" i="20"/>
  <c r="G91" i="20"/>
  <c r="F91" i="20"/>
  <c r="M75" i="20"/>
  <c r="L75" i="20"/>
  <c r="K75" i="20"/>
  <c r="J75" i="20"/>
  <c r="I75" i="20"/>
  <c r="H75" i="20"/>
  <c r="G75" i="20"/>
  <c r="F75" i="20"/>
  <c r="G156" i="20" l="1"/>
  <c r="H156" i="20"/>
  <c r="I156" i="20"/>
  <c r="J156" i="20"/>
  <c r="K156" i="20"/>
  <c r="L156" i="20"/>
  <c r="M156" i="20"/>
  <c r="J216" i="18"/>
  <c r="F216" i="18"/>
  <c r="FK156" i="15" l="1"/>
  <c r="CL156" i="15"/>
  <c r="FH156" i="15"/>
  <c r="FI156" i="15"/>
  <c r="FJ156" i="15"/>
  <c r="N156" i="20" l="1"/>
  <c r="F156" i="20"/>
  <c r="A1" i="21" l="1"/>
  <c r="C11" i="21" s="1"/>
  <c r="Q4" i="1"/>
  <c r="Q5" i="1"/>
  <c r="Q6" i="1"/>
  <c r="Q7" i="1"/>
  <c r="Q8" i="1"/>
  <c r="Q9" i="1"/>
  <c r="Q10" i="1"/>
  <c r="Q11" i="1"/>
  <c r="Q12" i="1"/>
  <c r="Q13" i="1"/>
  <c r="Q14" i="1"/>
  <c r="Q15" i="1"/>
  <c r="Q16" i="1"/>
  <c r="Q17" i="1"/>
  <c r="Q18" i="1"/>
  <c r="Q19" i="1"/>
  <c r="Q20" i="1"/>
  <c r="D5" i="17" s="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3" i="1"/>
  <c r="B142" i="16" l="1"/>
  <c r="H18" i="21"/>
  <c r="G18" i="21"/>
  <c r="G21" i="21"/>
  <c r="H21" i="21"/>
  <c r="G22" i="21"/>
  <c r="H22" i="21"/>
  <c r="G23" i="21"/>
  <c r="H23" i="21"/>
  <c r="G24" i="21"/>
  <c r="H24" i="21"/>
  <c r="G25" i="21"/>
  <c r="H25" i="21"/>
  <c r="G26" i="21"/>
  <c r="H26" i="21"/>
  <c r="G27" i="21"/>
  <c r="H27" i="21"/>
  <c r="G28" i="21"/>
  <c r="H28" i="21"/>
  <c r="G29" i="21"/>
  <c r="H29" i="21"/>
  <c r="G30" i="21"/>
  <c r="H30" i="21"/>
  <c r="G31" i="21"/>
  <c r="H31" i="21"/>
  <c r="G32" i="21"/>
  <c r="H32" i="21"/>
  <c r="G33" i="21"/>
  <c r="H33" i="21"/>
  <c r="G34" i="21"/>
  <c r="H34" i="21"/>
  <c r="G35" i="21"/>
  <c r="H35" i="21"/>
  <c r="G36" i="21"/>
  <c r="H36" i="21"/>
  <c r="G37" i="21"/>
  <c r="H37" i="21"/>
  <c r="G38" i="21"/>
  <c r="H38" i="21"/>
  <c r="G39" i="21"/>
  <c r="H39" i="21"/>
  <c r="G40" i="21"/>
  <c r="H40" i="21"/>
  <c r="H20" i="21"/>
  <c r="G20" i="21"/>
  <c r="A21" i="21"/>
  <c r="C21" i="21" s="1"/>
  <c r="B177" i="16" s="1"/>
  <c r="A22" i="21"/>
  <c r="C22" i="21" s="1"/>
  <c r="B181" i="16" s="1"/>
  <c r="A23" i="21"/>
  <c r="C23" i="21" s="1"/>
  <c r="B185" i="16" s="1"/>
  <c r="A24" i="21"/>
  <c r="C24" i="21" s="1"/>
  <c r="B189" i="16" s="1"/>
  <c r="A25" i="21"/>
  <c r="C25" i="21" s="1"/>
  <c r="B193" i="16" s="1"/>
  <c r="A26" i="21"/>
  <c r="C26" i="21" s="1"/>
  <c r="B197" i="16" s="1"/>
  <c r="A27" i="21"/>
  <c r="C27" i="21" s="1"/>
  <c r="B201" i="16" s="1"/>
  <c r="A28" i="21"/>
  <c r="C28" i="21" s="1"/>
  <c r="B205" i="16" s="1"/>
  <c r="A29" i="21"/>
  <c r="C29" i="21" s="1"/>
  <c r="B209" i="16" s="1"/>
  <c r="A30" i="21"/>
  <c r="C30" i="21" s="1"/>
  <c r="B213" i="16" s="1"/>
  <c r="A31" i="21"/>
  <c r="C31" i="21" s="1"/>
  <c r="B217" i="16" s="1"/>
  <c r="A32" i="21"/>
  <c r="C32" i="21" s="1"/>
  <c r="B221" i="16" s="1"/>
  <c r="A33" i="21"/>
  <c r="C33" i="21" s="1"/>
  <c r="B225" i="16" s="1"/>
  <c r="A34" i="21"/>
  <c r="C34" i="21" s="1"/>
  <c r="B229" i="16" s="1"/>
  <c r="A35" i="21"/>
  <c r="C35" i="21" s="1"/>
  <c r="B233" i="16" s="1"/>
  <c r="A36" i="21"/>
  <c r="C36" i="21" s="1"/>
  <c r="B237" i="16" s="1"/>
  <c r="A37" i="21"/>
  <c r="C37" i="21" s="1"/>
  <c r="B241" i="16" s="1"/>
  <c r="A38" i="21"/>
  <c r="C38" i="21" s="1"/>
  <c r="B245" i="16" s="1"/>
  <c r="A39" i="21"/>
  <c r="C39" i="21" s="1"/>
  <c r="B249" i="16" s="1"/>
  <c r="A40" i="21"/>
  <c r="C40" i="21" s="1"/>
  <c r="B253" i="16" s="1"/>
  <c r="A20" i="21"/>
  <c r="C20" i="21" s="1"/>
  <c r="B173" i="16" s="1"/>
  <c r="G11" i="21"/>
  <c r="K11" i="21"/>
  <c r="I11" i="21"/>
  <c r="J11" i="21"/>
  <c r="H11" i="21"/>
  <c r="E11" i="21"/>
  <c r="B148" i="16" s="1"/>
  <c r="F11" i="21"/>
  <c r="B151" i="16" s="1"/>
  <c r="D11" i="21"/>
  <c r="B145" i="16" s="1"/>
  <c r="B8" i="16"/>
  <c r="H9" i="21" l="1"/>
  <c r="B158" i="16" s="1"/>
  <c r="B157" i="16"/>
  <c r="J9" i="21"/>
  <c r="B164" i="16" s="1"/>
  <c r="B163" i="16"/>
  <c r="I9" i="21"/>
  <c r="B161" i="16" s="1"/>
  <c r="B160" i="16"/>
  <c r="K9" i="21"/>
  <c r="B167" i="16" s="1"/>
  <c r="B166" i="16"/>
  <c r="G9" i="21"/>
  <c r="B155" i="16" s="1"/>
  <c r="B154" i="16"/>
  <c r="I20" i="21"/>
  <c r="I23" i="21"/>
  <c r="I22" i="21"/>
  <c r="I21" i="21"/>
  <c r="I40" i="21"/>
  <c r="I39" i="21"/>
  <c r="I38" i="21"/>
  <c r="I37" i="21"/>
  <c r="I36" i="21"/>
  <c r="I35" i="21"/>
  <c r="I34" i="21"/>
  <c r="I33" i="21"/>
  <c r="I32" i="21"/>
  <c r="I31" i="21"/>
  <c r="I30" i="21"/>
  <c r="I29" i="21"/>
  <c r="I28" i="21"/>
  <c r="I27" i="21"/>
  <c r="I26" i="21"/>
  <c r="I25" i="21"/>
  <c r="I24" i="21"/>
  <c r="D20" i="21"/>
  <c r="B174" i="16" s="1"/>
  <c r="E20" i="21"/>
  <c r="B175" i="16" s="1"/>
  <c r="F20" i="21"/>
  <c r="B176" i="16" s="1"/>
  <c r="H41" i="21"/>
  <c r="D40" i="21"/>
  <c r="E40" i="21"/>
  <c r="F40" i="21"/>
  <c r="D39" i="21"/>
  <c r="E39" i="21"/>
  <c r="F39" i="21"/>
  <c r="D38" i="21"/>
  <c r="E38" i="21"/>
  <c r="F38" i="21"/>
  <c r="D37" i="21"/>
  <c r="E37" i="21"/>
  <c r="F37" i="21"/>
  <c r="D36" i="21"/>
  <c r="E36" i="21"/>
  <c r="F36" i="21"/>
  <c r="D35" i="21"/>
  <c r="E35" i="21"/>
  <c r="F35" i="21"/>
  <c r="D34" i="21"/>
  <c r="E34" i="21"/>
  <c r="F34" i="21"/>
  <c r="D33" i="21"/>
  <c r="E33" i="21"/>
  <c r="F33" i="21"/>
  <c r="D32" i="21"/>
  <c r="E32" i="21"/>
  <c r="F32" i="21"/>
  <c r="D31" i="21"/>
  <c r="E31" i="21"/>
  <c r="F31" i="21"/>
  <c r="D30" i="21"/>
  <c r="E30" i="21"/>
  <c r="F30" i="21"/>
  <c r="D29" i="21"/>
  <c r="E29" i="21"/>
  <c r="F29" i="21"/>
  <c r="D28" i="21"/>
  <c r="E28" i="21"/>
  <c r="F28" i="21"/>
  <c r="D27" i="21"/>
  <c r="E27" i="21"/>
  <c r="F27" i="21"/>
  <c r="D26" i="21"/>
  <c r="E26" i="21"/>
  <c r="F26" i="21"/>
  <c r="D25" i="21"/>
  <c r="E25" i="21"/>
  <c r="F25" i="21"/>
  <c r="D24" i="21"/>
  <c r="E24" i="21"/>
  <c r="F24" i="21"/>
  <c r="D23" i="21"/>
  <c r="B186" i="16" s="1"/>
  <c r="E23" i="21"/>
  <c r="F23" i="21"/>
  <c r="K20" i="21"/>
  <c r="D21" i="21"/>
  <c r="E21" i="21"/>
  <c r="F21" i="21"/>
  <c r="D22" i="21"/>
  <c r="E22" i="21"/>
  <c r="F22" i="21"/>
  <c r="C9" i="11"/>
  <c r="J20" i="21" l="1"/>
  <c r="J23" i="21"/>
  <c r="L20" i="21"/>
  <c r="I41" i="21"/>
  <c r="C10" i="21" s="1"/>
  <c r="F9" i="22" s="1"/>
  <c r="L22" i="21"/>
  <c r="B184" i="16"/>
  <c r="K22" i="21"/>
  <c r="B183" i="16"/>
  <c r="J22" i="21"/>
  <c r="B182" i="16"/>
  <c r="L21" i="21"/>
  <c r="B180" i="16"/>
  <c r="K21" i="21"/>
  <c r="B179" i="16"/>
  <c r="J21" i="21"/>
  <c r="B178" i="16"/>
  <c r="L23" i="21"/>
  <c r="B188" i="16"/>
  <c r="K23" i="21"/>
  <c r="B187" i="16"/>
  <c r="L24" i="21"/>
  <c r="B192" i="16"/>
  <c r="K24" i="21"/>
  <c r="B191" i="16"/>
  <c r="J24" i="21"/>
  <c r="B190" i="16"/>
  <c r="L25" i="21"/>
  <c r="B196" i="16"/>
  <c r="K25" i="21"/>
  <c r="B195" i="16"/>
  <c r="J25" i="21"/>
  <c r="B194" i="16"/>
  <c r="L26" i="21"/>
  <c r="B200" i="16"/>
  <c r="K26" i="21"/>
  <c r="B199" i="16"/>
  <c r="J26" i="21"/>
  <c r="B198" i="16"/>
  <c r="L27" i="21"/>
  <c r="B204" i="16"/>
  <c r="K27" i="21"/>
  <c r="B203" i="16"/>
  <c r="J27" i="21"/>
  <c r="B202" i="16"/>
  <c r="L28" i="21"/>
  <c r="B208" i="16"/>
  <c r="K28" i="21"/>
  <c r="B207" i="16"/>
  <c r="J28" i="21"/>
  <c r="B206" i="16"/>
  <c r="L29" i="21"/>
  <c r="B212" i="16"/>
  <c r="K29" i="21"/>
  <c r="B211" i="16"/>
  <c r="J29" i="21"/>
  <c r="B210" i="16"/>
  <c r="L30" i="21"/>
  <c r="B216" i="16"/>
  <c r="K30" i="21"/>
  <c r="B215" i="16"/>
  <c r="J30" i="21"/>
  <c r="B214" i="16"/>
  <c r="L31" i="21"/>
  <c r="B220" i="16"/>
  <c r="K31" i="21"/>
  <c r="B219" i="16"/>
  <c r="J31" i="21"/>
  <c r="B218" i="16"/>
  <c r="L32" i="21"/>
  <c r="B224" i="16"/>
  <c r="K32" i="21"/>
  <c r="B223" i="16"/>
  <c r="J32" i="21"/>
  <c r="B222" i="16"/>
  <c r="L33" i="21"/>
  <c r="B228" i="16"/>
  <c r="K33" i="21"/>
  <c r="B227" i="16"/>
  <c r="J33" i="21"/>
  <c r="B226" i="16"/>
  <c r="L34" i="21"/>
  <c r="B232" i="16"/>
  <c r="K34" i="21"/>
  <c r="B231" i="16"/>
  <c r="J34" i="21"/>
  <c r="B230" i="16"/>
  <c r="L35" i="21"/>
  <c r="B236" i="16"/>
  <c r="K35" i="21"/>
  <c r="B235" i="16"/>
  <c r="J35" i="21"/>
  <c r="B234" i="16"/>
  <c r="L36" i="21"/>
  <c r="B240" i="16"/>
  <c r="K36" i="21"/>
  <c r="B239" i="16"/>
  <c r="J36" i="21"/>
  <c r="B238" i="16"/>
  <c r="L37" i="21"/>
  <c r="B244" i="16"/>
  <c r="K37" i="21"/>
  <c r="B243" i="16"/>
  <c r="J37" i="21"/>
  <c r="B242" i="16"/>
  <c r="L38" i="21"/>
  <c r="B248" i="16"/>
  <c r="K38" i="21"/>
  <c r="B247" i="16"/>
  <c r="J38" i="21"/>
  <c r="B246" i="16"/>
  <c r="L39" i="21"/>
  <c r="B252" i="16"/>
  <c r="K39" i="21"/>
  <c r="B251" i="16"/>
  <c r="J39" i="21"/>
  <c r="B250" i="16"/>
  <c r="L40" i="21"/>
  <c r="B256" i="16"/>
  <c r="K40" i="21"/>
  <c r="B255" i="16"/>
  <c r="J40" i="21"/>
  <c r="B254" i="16"/>
  <c r="F11" i="22" l="1"/>
  <c r="L41" i="21"/>
  <c r="F10" i="21" s="1"/>
  <c r="F9" i="21" s="1"/>
  <c r="B152" i="16" s="1"/>
  <c r="C9" i="21"/>
  <c r="B143" i="16" s="1"/>
  <c r="B141" i="16"/>
  <c r="J41" i="21"/>
  <c r="D10" i="21" s="1"/>
  <c r="K41" i="21"/>
  <c r="E10" i="21" s="1"/>
  <c r="E9" i="21" s="1"/>
  <c r="B149" i="16" s="1"/>
  <c r="B170" i="16"/>
  <c r="H12" i="21"/>
  <c r="H14" i="21" s="1"/>
  <c r="G11" i="22" l="1"/>
  <c r="H11" i="22" s="1"/>
  <c r="B150" i="16"/>
  <c r="D9" i="21"/>
  <c r="B146" i="16" s="1"/>
  <c r="B144" i="16"/>
  <c r="G9" i="22"/>
  <c r="H9" i="22" s="1"/>
  <c r="I9" i="22" s="1"/>
  <c r="F13" i="22" s="1"/>
  <c r="B147" i="16"/>
  <c r="E44" i="10"/>
  <c r="B169" i="16"/>
  <c r="B4" i="10"/>
  <c r="E46" i="10" l="1"/>
  <c r="G13" i="22"/>
  <c r="B9" i="22"/>
  <c r="H13" i="22"/>
  <c r="I11" i="22"/>
  <c r="B171" i="16"/>
  <c r="B19" i="22"/>
  <c r="B23" i="22" s="1"/>
  <c r="A1" i="14"/>
  <c r="A1" i="13"/>
  <c r="B139" i="16"/>
  <c r="B138" i="16"/>
  <c r="B137" i="16"/>
  <c r="B136" i="16"/>
  <c r="B135" i="16"/>
  <c r="B134" i="16"/>
  <c r="B133" i="16"/>
  <c r="B132" i="16"/>
  <c r="B131" i="16"/>
  <c r="B130" i="16"/>
  <c r="B129" i="16"/>
  <c r="B92" i="16"/>
  <c r="B82" i="16"/>
  <c r="B79" i="16"/>
  <c r="B76" i="16"/>
  <c r="B73" i="16"/>
  <c r="B70" i="16"/>
  <c r="B67" i="16"/>
  <c r="B64" i="16"/>
  <c r="B61" i="16"/>
  <c r="B42" i="16"/>
  <c r="B35" i="16"/>
  <c r="B34" i="16"/>
  <c r="B32" i="16"/>
  <c r="B31" i="16"/>
  <c r="B18" i="16"/>
  <c r="B11" i="16"/>
  <c r="FG156" i="15"/>
  <c r="FF156" i="15"/>
  <c r="CK156" i="15"/>
  <c r="CJ156" i="15"/>
  <c r="CI156" i="15"/>
  <c r="CH156" i="15"/>
  <c r="BU156" i="15"/>
  <c r="BT156" i="15"/>
  <c r="BS156" i="15"/>
  <c r="BR156" i="15"/>
  <c r="BQ156" i="15"/>
  <c r="BP156" i="15"/>
  <c r="BX156" i="15" s="1"/>
  <c r="BO156" i="15"/>
  <c r="BN156" i="15"/>
  <c r="BM156" i="15"/>
  <c r="BL156" i="15"/>
  <c r="BK156" i="15"/>
  <c r="BJ156" i="15"/>
  <c r="BI156" i="15"/>
  <c r="BH156" i="15"/>
  <c r="BG156" i="15"/>
  <c r="BF156" i="15"/>
  <c r="BE156" i="15"/>
  <c r="BD156"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N33" i="13"/>
  <c r="B90" i="16" s="1"/>
  <c r="N32" i="13"/>
  <c r="N34" i="13" s="1"/>
  <c r="E18" i="13"/>
  <c r="E12" i="13"/>
  <c r="B16" i="16" s="1"/>
  <c r="E11" i="13"/>
  <c r="E22" i="13" l="1"/>
  <c r="B40" i="16" s="1"/>
  <c r="E21" i="13"/>
  <c r="E23" i="13" s="1"/>
  <c r="BV156" i="15"/>
  <c r="D35" i="14"/>
  <c r="B258" i="16" s="1"/>
  <c r="F45" i="14"/>
  <c r="I13" i="22"/>
  <c r="B11" i="22"/>
  <c r="B13" i="22" s="1"/>
  <c r="F19" i="22"/>
  <c r="G19" i="22" s="1"/>
  <c r="H19" i="22" s="1"/>
  <c r="I19" i="22" s="1"/>
  <c r="B27" i="22"/>
  <c r="E68" i="14"/>
  <c r="F66" i="14"/>
  <c r="F69" i="14" s="1"/>
  <c r="D68" i="14"/>
  <c r="E66" i="14"/>
  <c r="E69" i="14" s="1"/>
  <c r="F67" i="14"/>
  <c r="D66" i="14"/>
  <c r="F68" i="14"/>
  <c r="D67" i="14"/>
  <c r="B33" i="16"/>
  <c r="H69" i="14"/>
  <c r="B29" i="16"/>
  <c r="C20" i="13"/>
  <c r="B26" i="16" s="1"/>
  <c r="C19" i="13"/>
  <c r="B25" i="16" s="1"/>
  <c r="C18" i="13"/>
  <c r="C10" i="13"/>
  <c r="B3" i="16" s="1"/>
  <c r="C8" i="13"/>
  <c r="B4" i="16" s="1"/>
  <c r="E10" i="13"/>
  <c r="D10" i="13"/>
  <c r="B6" i="16" s="1"/>
  <c r="C9" i="13"/>
  <c r="H45" i="14"/>
  <c r="B23" i="16" s="1"/>
  <c r="G45" i="14"/>
  <c r="B20" i="16" s="1"/>
  <c r="E45" i="14"/>
  <c r="D45" i="14"/>
  <c r="F44" i="14"/>
  <c r="F43" i="14"/>
  <c r="F46" i="14" s="1"/>
  <c r="E43" i="14"/>
  <c r="E46" i="14" s="1"/>
  <c r="D43" i="14"/>
  <c r="B15" i="16"/>
  <c r="E13" i="13"/>
  <c r="J11" i="14"/>
  <c r="J12" i="14" s="1"/>
  <c r="I11" i="14"/>
  <c r="I12" i="14" s="1"/>
  <c r="H11" i="14"/>
  <c r="H12" i="14" s="1"/>
  <c r="G11" i="14"/>
  <c r="G12" i="14" s="1"/>
  <c r="F11" i="14"/>
  <c r="F12" i="14" s="1"/>
  <c r="E11" i="14"/>
  <c r="E12" i="14" s="1"/>
  <c r="D11" i="14"/>
  <c r="H35" i="14"/>
  <c r="B270" i="16" s="1"/>
  <c r="G35" i="14"/>
  <c r="B267" i="16" s="1"/>
  <c r="F35" i="14"/>
  <c r="B264" i="16" s="1"/>
  <c r="E35" i="14"/>
  <c r="B261" i="16" s="1"/>
  <c r="E44" i="14"/>
  <c r="K113" i="14"/>
  <c r="B115" i="16" s="1"/>
  <c r="J113" i="14"/>
  <c r="B112" i="16" s="1"/>
  <c r="I113" i="14"/>
  <c r="B109" i="16" s="1"/>
  <c r="H113" i="14"/>
  <c r="B106" i="16" s="1"/>
  <c r="G113" i="14"/>
  <c r="F113" i="14"/>
  <c r="B100" i="16" s="1"/>
  <c r="E113" i="14"/>
  <c r="B97" i="16" s="1"/>
  <c r="D113" i="14"/>
  <c r="AU89" i="14"/>
  <c r="AU90" i="14" s="1"/>
  <c r="AT89" i="14"/>
  <c r="AT90" i="14" s="1"/>
  <c r="AS89" i="14"/>
  <c r="AS90" i="14" s="1"/>
  <c r="AR89" i="14"/>
  <c r="AR90" i="14" s="1"/>
  <c r="AQ89" i="14"/>
  <c r="AQ90" i="14" s="1"/>
  <c r="AP89" i="14"/>
  <c r="AP90" i="14" s="1"/>
  <c r="AO89" i="14"/>
  <c r="AO90" i="14" s="1"/>
  <c r="AN89" i="14"/>
  <c r="AN90" i="14" s="1"/>
  <c r="AM89" i="14"/>
  <c r="AM90" i="14" s="1"/>
  <c r="AL89" i="14"/>
  <c r="AL90" i="14" s="1"/>
  <c r="AK89" i="14"/>
  <c r="AK90" i="14" s="1"/>
  <c r="AJ89" i="14"/>
  <c r="AJ90" i="14" s="1"/>
  <c r="AI89" i="14"/>
  <c r="AI90" i="14" s="1"/>
  <c r="AH89" i="14"/>
  <c r="AH90" i="14" s="1"/>
  <c r="AG89" i="14"/>
  <c r="AG90" i="14" s="1"/>
  <c r="AF89" i="14"/>
  <c r="AF90" i="14" s="1"/>
  <c r="AE89" i="14"/>
  <c r="AE90" i="14" s="1"/>
  <c r="AD89" i="14"/>
  <c r="AD90" i="14" s="1"/>
  <c r="AC89" i="14"/>
  <c r="AC90" i="14" s="1"/>
  <c r="AB89" i="14"/>
  <c r="AB90" i="14" s="1"/>
  <c r="AA89" i="14"/>
  <c r="AA90" i="14" s="1"/>
  <c r="Z89" i="14"/>
  <c r="Z90" i="14" s="1"/>
  <c r="Y89" i="14"/>
  <c r="Y90" i="14" s="1"/>
  <c r="X89" i="14"/>
  <c r="X90" i="14" s="1"/>
  <c r="W89" i="14"/>
  <c r="W90" i="14" s="1"/>
  <c r="V89" i="14"/>
  <c r="V90" i="14" s="1"/>
  <c r="U89" i="14"/>
  <c r="U90" i="14" s="1"/>
  <c r="T89" i="14"/>
  <c r="T90" i="14" s="1"/>
  <c r="S89" i="14"/>
  <c r="S90" i="14" s="1"/>
  <c r="R89" i="14"/>
  <c r="R90" i="14" s="1"/>
  <c r="Q89" i="14"/>
  <c r="Q90" i="14" s="1"/>
  <c r="P89" i="14"/>
  <c r="P90" i="14" s="1"/>
  <c r="O89" i="14"/>
  <c r="O90" i="14" s="1"/>
  <c r="N89" i="14"/>
  <c r="N90" i="14" s="1"/>
  <c r="M89" i="14"/>
  <c r="M90" i="14" s="1"/>
  <c r="L89" i="14"/>
  <c r="L90" i="14" s="1"/>
  <c r="K89" i="14"/>
  <c r="K90" i="14" s="1"/>
  <c r="J89" i="14"/>
  <c r="J90" i="14" s="1"/>
  <c r="I89" i="14"/>
  <c r="I90" i="14" s="1"/>
  <c r="H89" i="14"/>
  <c r="H90" i="14" s="1"/>
  <c r="G89" i="14"/>
  <c r="G90" i="14" s="1"/>
  <c r="F89" i="14"/>
  <c r="F90" i="14" s="1"/>
  <c r="E89" i="14"/>
  <c r="E90" i="14" s="1"/>
  <c r="D89" i="14"/>
  <c r="D90" i="14" s="1"/>
  <c r="B89" i="16"/>
  <c r="N31" i="13"/>
  <c r="N29" i="13" s="1"/>
  <c r="M31" i="13"/>
  <c r="M29" i="13" s="1"/>
  <c r="L31" i="13"/>
  <c r="L29" i="13" s="1"/>
  <c r="K31" i="13"/>
  <c r="K29" i="13" s="1"/>
  <c r="J31" i="13"/>
  <c r="J29" i="13" s="1"/>
  <c r="I31" i="13"/>
  <c r="I29" i="13" s="1"/>
  <c r="H31" i="13"/>
  <c r="H29" i="13" s="1"/>
  <c r="G31" i="13"/>
  <c r="G29" i="13" s="1"/>
  <c r="F31" i="13"/>
  <c r="B59" i="16" s="1"/>
  <c r="F30" i="13"/>
  <c r="E31" i="13"/>
  <c r="B56" i="16" s="1"/>
  <c r="E30" i="13"/>
  <c r="D31" i="13"/>
  <c r="B53" i="16" s="1"/>
  <c r="D30" i="13"/>
  <c r="C31" i="13"/>
  <c r="B50" i="16" s="1"/>
  <c r="C30" i="13"/>
  <c r="BY156" i="15"/>
  <c r="BZ156" i="15"/>
  <c r="D44" i="14"/>
  <c r="B1" i="16"/>
  <c r="B39" i="16"/>
  <c r="E67" i="14"/>
  <c r="BW156" i="15"/>
  <c r="CF156" i="15"/>
  <c r="CB156" i="15"/>
  <c r="CE156" i="15"/>
  <c r="CA156" i="15"/>
  <c r="CD156" i="15"/>
  <c r="CG156" i="15"/>
  <c r="CC156" i="15"/>
  <c r="B27" i="16" l="1"/>
  <c r="D22" i="13"/>
  <c r="B37" i="16" s="1"/>
  <c r="D21" i="13"/>
  <c r="J32" i="13"/>
  <c r="J33" i="13"/>
  <c r="B87" i="16" s="1"/>
  <c r="B2" i="16"/>
  <c r="D12" i="13"/>
  <c r="D11" i="13"/>
  <c r="M11" i="14"/>
  <c r="O11" i="14"/>
  <c r="K11" i="14"/>
  <c r="D34" i="14" s="1"/>
  <c r="N11" i="14"/>
  <c r="L11" i="14"/>
  <c r="D46" i="14"/>
  <c r="H43" i="14"/>
  <c r="G43" i="14"/>
  <c r="H66" i="14"/>
  <c r="B48" i="16" s="1"/>
  <c r="G66" i="14"/>
  <c r="D29" i="13"/>
  <c r="B54" i="16" s="1"/>
  <c r="F29" i="13"/>
  <c r="B60" i="16" s="1"/>
  <c r="C29" i="13"/>
  <c r="B51" i="16" s="1"/>
  <c r="E29" i="13"/>
  <c r="B57" i="16" s="1"/>
  <c r="D12" i="14"/>
  <c r="D69" i="14"/>
  <c r="B45" i="16"/>
  <c r="H68" i="14"/>
  <c r="B47" i="16" s="1"/>
  <c r="G68" i="14"/>
  <c r="B44" i="16" s="1"/>
  <c r="D23" i="13"/>
  <c r="H44" i="14"/>
  <c r="B22" i="16" s="1"/>
  <c r="G44" i="14"/>
  <c r="B19" i="16" s="1"/>
  <c r="B13" i="16"/>
  <c r="D13" i="13"/>
  <c r="B5" i="16"/>
  <c r="B80" i="16"/>
  <c r="B68" i="16"/>
  <c r="B69" i="16"/>
  <c r="B77" i="16"/>
  <c r="B58" i="16"/>
  <c r="B65" i="16"/>
  <c r="B49" i="16"/>
  <c r="B91" i="16"/>
  <c r="B17" i="16"/>
  <c r="B41" i="16"/>
  <c r="B9" i="16"/>
  <c r="E8" i="13"/>
  <c r="BS89" i="14"/>
  <c r="BO89" i="14"/>
  <c r="BK89" i="14"/>
  <c r="BG89" i="14"/>
  <c r="BC89" i="14"/>
  <c r="AY89" i="14"/>
  <c r="BR89" i="14"/>
  <c r="BM89" i="14"/>
  <c r="BH89" i="14"/>
  <c r="BB89" i="14"/>
  <c r="AW89" i="14"/>
  <c r="BQ89" i="14"/>
  <c r="BL89" i="14"/>
  <c r="BF89" i="14"/>
  <c r="BA89" i="14"/>
  <c r="AV89" i="14"/>
  <c r="BP89" i="14"/>
  <c r="BJ89" i="14"/>
  <c r="BE89" i="14"/>
  <c r="AZ89" i="14"/>
  <c r="BN89" i="14"/>
  <c r="BI89" i="14"/>
  <c r="BD89" i="14"/>
  <c r="AX89" i="14"/>
  <c r="B71" i="16"/>
  <c r="B72" i="16"/>
  <c r="B28" i="16"/>
  <c r="B55" i="16"/>
  <c r="B103" i="16"/>
  <c r="B74" i="16"/>
  <c r="B75" i="16"/>
  <c r="B52" i="16"/>
  <c r="B94" i="16"/>
  <c r="B62" i="16"/>
  <c r="B63" i="16"/>
  <c r="B83" i="16"/>
  <c r="B84" i="16"/>
  <c r="D8" i="13"/>
  <c r="J34" i="13" l="1"/>
  <c r="B88" i="16" s="1"/>
  <c r="B86" i="16"/>
  <c r="D33" i="14"/>
  <c r="B259" i="16" s="1"/>
  <c r="B257" i="16"/>
  <c r="B21" i="16"/>
  <c r="B24" i="16"/>
  <c r="B7" i="16"/>
  <c r="G46" i="14"/>
  <c r="B30" i="16"/>
  <c r="G69" i="14"/>
  <c r="B10" i="16"/>
  <c r="H46" i="14"/>
  <c r="B81" i="16"/>
  <c r="B78" i="16"/>
  <c r="B66" i="16"/>
  <c r="D112" i="14"/>
  <c r="D111" i="14" s="1"/>
  <c r="H67" i="14"/>
  <c r="B46" i="16" s="1"/>
  <c r="K112" i="14"/>
  <c r="K111" i="14" s="1"/>
  <c r="B36" i="16"/>
  <c r="G112" i="14"/>
  <c r="G111" i="14" s="1"/>
  <c r="I112" i="14"/>
  <c r="I111" i="14" s="1"/>
  <c r="B12" i="16"/>
  <c r="G67" i="14"/>
  <c r="B43" i="16" s="1"/>
  <c r="F112" i="14"/>
  <c r="F111" i="14" s="1"/>
  <c r="E112" i="14"/>
  <c r="E111" i="14" s="1"/>
  <c r="J112" i="14"/>
  <c r="J111" i="14" s="1"/>
  <c r="H112" i="14"/>
  <c r="H111" i="14" s="1"/>
  <c r="B114" i="16" l="1"/>
  <c r="B116" i="16"/>
  <c r="B14" i="16"/>
  <c r="B38" i="16"/>
  <c r="B111" i="16"/>
  <c r="B113" i="16"/>
  <c r="B99" i="16"/>
  <c r="B101" i="16"/>
  <c r="B108" i="16"/>
  <c r="B110" i="16"/>
  <c r="B102" i="16"/>
  <c r="B104" i="16"/>
  <c r="B105" i="16"/>
  <c r="B107" i="16"/>
  <c r="B96" i="16"/>
  <c r="B98" i="16"/>
  <c r="B93" i="16"/>
  <c r="B95" i="16"/>
  <c r="A3" i="11" l="1"/>
  <c r="A3" i="2" l="1"/>
  <c r="E34" i="14" l="1"/>
  <c r="F34" i="14"/>
  <c r="G34" i="14"/>
  <c r="H34" i="14"/>
  <c r="H33" i="14" l="1"/>
  <c r="B271" i="16" s="1"/>
  <c r="B269" i="16"/>
  <c r="G33" i="14"/>
  <c r="B268" i="16" s="1"/>
  <c r="B266" i="16"/>
  <c r="F33" i="14"/>
  <c r="B265" i="16" s="1"/>
  <c r="B263" i="16"/>
  <c r="E33" i="14"/>
  <c r="B262" i="16" s="1"/>
  <c r="B260" i="16"/>
</calcChain>
</file>

<file path=xl/comments1.xml><?xml version="1.0" encoding="utf-8"?>
<comments xmlns="http://schemas.openxmlformats.org/spreadsheetml/2006/main">
  <authors>
    <author>Simon Chappell</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B10" authorId="0">
      <text>
        <r>
          <rPr>
            <b/>
            <sz val="8"/>
            <color indexed="81"/>
            <rFont val="Tahoma"/>
            <family val="2"/>
          </rPr>
          <t>The baseline figures are mapped from the CCG activity shown in the second table. If the CCG plans are updated then this will affect the resulting HWB baseline figures here.</t>
        </r>
      </text>
    </comment>
    <comment ref="G10" authorId="0">
      <text>
        <r>
          <rPr>
            <b/>
            <sz val="8"/>
            <color indexed="81"/>
            <rFont val="Tahoma"/>
            <family val="2"/>
          </rPr>
          <t>See cells H2-4 for meanings of R/G on these figures. The baseline in this case is the figures for the same quarter in the previous year.</t>
        </r>
      </text>
    </comment>
    <comment ref="K10" authorId="0">
      <text>
        <r>
          <rPr>
            <b/>
            <sz val="8"/>
            <color indexed="81"/>
            <rFont val="Tahoma"/>
            <family val="2"/>
          </rPr>
          <t>Although this quarter is not part of the pay for performance period it must be completed in order to show the overall 2015-16 plan</t>
        </r>
      </text>
    </comment>
    <comment ref="B11" authorId="0">
      <text>
        <r>
          <rPr>
            <sz val="8"/>
            <color indexed="81"/>
            <rFont val="Tahoma"/>
            <family val="2"/>
          </rPr>
          <t>These are the appropriate all-age ONS population estimates or projections
for each quarter.</t>
        </r>
      </text>
    </comment>
    <comment ref="A18" authorId="0">
      <text>
        <r>
          <rPr>
            <b/>
            <sz val="8"/>
            <color indexed="81"/>
            <rFont val="Tahoma"/>
            <family val="2"/>
          </rPr>
          <t>The CCG operational plans are principally based on the CCG of registration (GP practice) population which will not fit in to a clear geographical boundary. Therefore in some cases there will be a large number of CCGs which contribute to the HWB activity.</t>
        </r>
        <r>
          <rPr>
            <sz val="8"/>
            <color indexed="81"/>
            <rFont val="Tahoma"/>
            <family val="2"/>
          </rPr>
          <t xml:space="preserve">
</t>
        </r>
      </text>
    </comment>
    <comment ref="G18" authorId="0">
      <text>
        <r>
          <rPr>
            <b/>
            <sz val="8"/>
            <color indexed="81"/>
            <rFont val="Tahoma"/>
            <family val="2"/>
          </rPr>
          <t>This gives the % of the registered CCG population that is resident in the HWB population. This mapping of population is used to derive the approximate activity from each CCG that contributes to the HWB activity.</t>
        </r>
      </text>
    </comment>
    <comment ref="H18" authorId="0">
      <text>
        <r>
          <rPr>
            <b/>
            <sz val="8"/>
            <color indexed="81"/>
            <rFont val="Tahoma"/>
            <family val="2"/>
          </rPr>
          <t>These % should sum to 100% (as shown in cell H41)</t>
        </r>
        <r>
          <rPr>
            <sz val="8"/>
            <color indexed="81"/>
            <rFont val="Tahoma"/>
            <family val="2"/>
          </rPr>
          <t xml:space="preserve">
</t>
        </r>
      </text>
    </comment>
    <comment ref="D20" authorId="0">
      <text>
        <r>
          <rPr>
            <b/>
            <sz val="8"/>
            <color indexed="81"/>
            <rFont val="Tahoma"/>
            <family val="2"/>
          </rPr>
          <t xml:space="preserve">If CCG 2014-15 operational plans are updated then this will affect the resulting HWB baseline figures. Therefore these can be overwritten if required. </t>
        </r>
      </text>
    </comment>
  </commentList>
</comments>
</file>

<file path=xl/comments2.xml><?xml version="1.0" encoding="utf-8"?>
<comments xmlns="http://schemas.openxmlformats.org/spreadsheetml/2006/main">
  <authors>
    <author>Simon Chappell</author>
    <author>Damien Mcmahon</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C8" authorId="0">
      <text>
        <r>
          <rPr>
            <b/>
            <sz val="8"/>
            <color indexed="81"/>
            <rFont val="Tahoma"/>
            <family val="2"/>
          </rPr>
          <t>2013-14 published ASCOF rate (unrounded)</t>
        </r>
      </text>
    </comment>
    <comment ref="D8" authorId="0">
      <text>
        <r>
          <rPr>
            <b/>
            <sz val="8"/>
            <color indexed="81"/>
            <rFont val="Tahoma"/>
            <family val="2"/>
          </rPr>
          <t>See cells H2-3 for meanings of R/G</t>
        </r>
      </text>
    </comment>
    <comment ref="E8" authorId="0">
      <text>
        <r>
          <rPr>
            <b/>
            <sz val="8"/>
            <color indexed="81"/>
            <rFont val="Tahoma"/>
            <family val="2"/>
          </rPr>
          <t xml:space="preserve">See cells H2-3 for meanings of R/G. </t>
        </r>
        <r>
          <rPr>
            <sz val="8"/>
            <color indexed="81"/>
            <rFont val="Tahoma"/>
            <family val="2"/>
          </rPr>
          <t xml:space="preserve">
</t>
        </r>
      </text>
    </comment>
    <comment ref="C9" authorId="0">
      <text>
        <r>
          <rPr>
            <b/>
            <sz val="8"/>
            <color indexed="81"/>
            <rFont val="Tahoma"/>
            <family val="2"/>
          </rPr>
          <t>2013-14 published ASCOF count (rounded to nearest 5)</t>
        </r>
        <r>
          <rPr>
            <sz val="8"/>
            <color indexed="81"/>
            <rFont val="Tahoma"/>
            <family val="2"/>
          </rPr>
          <t xml:space="preserve">
</t>
        </r>
      </text>
    </comment>
    <comment ref="B10" authorId="0">
      <text>
        <r>
          <rPr>
            <b/>
            <sz val="8"/>
            <color indexed="81"/>
            <rFont val="Tahoma"/>
            <family val="2"/>
          </rPr>
          <t>These are relevant ONS population estimates or projections (age 65+)</t>
        </r>
      </text>
    </comment>
    <comment ref="C10" authorId="0">
      <text>
        <r>
          <rPr>
            <b/>
            <sz val="8"/>
            <color indexed="81"/>
            <rFont val="Tahoma"/>
            <family val="2"/>
          </rPr>
          <t>To note - the 13-14 provisional ASCOF publication uses a 2012-13 population estimate here, which this shows (rather than the 13-14 figures)</t>
        </r>
        <r>
          <rPr>
            <sz val="8"/>
            <color indexed="81"/>
            <rFont val="Tahoma"/>
            <family val="2"/>
          </rPr>
          <t xml:space="preserve">
</t>
        </r>
      </text>
    </comment>
    <comment ref="D10" authorId="0">
      <text>
        <r>
          <rPr>
            <b/>
            <sz val="8"/>
            <color indexed="81"/>
            <rFont val="Tahoma"/>
            <family val="2"/>
          </rPr>
          <t>2014-15 ONS population projection</t>
        </r>
        <r>
          <rPr>
            <sz val="8"/>
            <color indexed="81"/>
            <rFont val="Tahoma"/>
            <family val="2"/>
          </rPr>
          <t xml:space="preserve">
</t>
        </r>
      </text>
    </comment>
    <comment ref="E10" authorId="0">
      <text>
        <r>
          <rPr>
            <b/>
            <sz val="8"/>
            <color indexed="81"/>
            <rFont val="Tahoma"/>
            <family val="2"/>
          </rPr>
          <t>2015-16 ONS population projection</t>
        </r>
      </text>
    </comment>
    <comment ref="G13" authorId="0">
      <text>
        <r>
          <rPr>
            <b/>
            <sz val="8"/>
            <color indexed="81"/>
            <rFont val="Tahoma"/>
            <family val="2"/>
          </rPr>
          <t>This figure can be adjusted if there is a robust local estimate for this</t>
        </r>
      </text>
    </comment>
    <comment ref="C18" authorId="0">
      <text>
        <r>
          <rPr>
            <b/>
            <sz val="8"/>
            <color indexed="81"/>
            <rFont val="Tahoma"/>
            <family val="2"/>
          </rPr>
          <t>2013-14 published ASCOF rate (unrounded)</t>
        </r>
        <r>
          <rPr>
            <sz val="8"/>
            <color indexed="81"/>
            <rFont val="Tahoma"/>
            <family val="2"/>
          </rPr>
          <t xml:space="preserve">
</t>
        </r>
      </text>
    </comment>
    <comment ref="D18" authorId="0">
      <text>
        <r>
          <rPr>
            <b/>
            <sz val="8"/>
            <color indexed="81"/>
            <rFont val="Tahoma"/>
            <family val="2"/>
          </rPr>
          <t xml:space="preserve">See cells H2-3 for meanings of R/G. </t>
        </r>
        <r>
          <rPr>
            <sz val="8"/>
            <color indexed="81"/>
            <rFont val="Tahoma"/>
            <family val="2"/>
          </rPr>
          <t xml:space="preserve">
</t>
        </r>
      </text>
    </comment>
    <comment ref="E18" authorId="0">
      <text>
        <r>
          <rPr>
            <b/>
            <sz val="8"/>
            <color indexed="81"/>
            <rFont val="Tahoma"/>
            <family val="2"/>
          </rPr>
          <t>See cells H2-3 for meanings of R/G. The baseline in this case is the October payment.</t>
        </r>
        <r>
          <rPr>
            <sz val="8"/>
            <color indexed="81"/>
            <rFont val="Tahoma"/>
            <family val="2"/>
          </rPr>
          <t xml:space="preserve">
</t>
        </r>
      </text>
    </comment>
    <comment ref="H18" authorId="0">
      <text>
        <r>
          <rPr>
            <b/>
            <sz val="8"/>
            <color indexed="81"/>
            <rFont val="Tahoma"/>
            <family val="2"/>
          </rPr>
          <t>If there is a red rating for the rate</t>
        </r>
        <r>
          <rPr>
            <sz val="8"/>
            <color indexed="81"/>
            <rFont val="Tahoma"/>
            <family val="2"/>
          </rPr>
          <t xml:space="preserve">
</t>
        </r>
      </text>
    </comment>
    <comment ref="C19" authorId="0">
      <text>
        <r>
          <rPr>
            <b/>
            <sz val="8"/>
            <color indexed="81"/>
            <rFont val="Tahoma"/>
            <family val="2"/>
          </rPr>
          <t>2013-14 published ASCOF count -provisional (rounded to nearest 5)</t>
        </r>
        <r>
          <rPr>
            <sz val="8"/>
            <color indexed="81"/>
            <rFont val="Tahoma"/>
            <family val="2"/>
          </rPr>
          <t xml:space="preserve">
</t>
        </r>
      </text>
    </comment>
    <comment ref="D19" authorId="1">
      <text>
        <r>
          <rPr>
            <b/>
            <sz val="8"/>
            <color indexed="81"/>
            <rFont val="Tahoma"/>
            <family val="2"/>
          </rPr>
          <t>Because of the rounding in the baseline numerator and denominator figures, this figure may need to exceed the baseline numerator in order for the rate to match/improve on the baseline</t>
        </r>
      </text>
    </comment>
    <comment ref="B20" authorId="0">
      <text>
        <r>
          <rPr>
            <sz val="8"/>
            <color indexed="81"/>
            <rFont val="Tahoma"/>
            <family val="2"/>
          </rPr>
          <t xml:space="preserve">This the number annually offered reablement. The BCF guidance requires that this figure should not reduce - cells E20-21 will show as red if it does (accounting for rounding)
</t>
        </r>
      </text>
    </comment>
    <comment ref="C20" authorId="0">
      <text>
        <r>
          <rPr>
            <b/>
            <sz val="8"/>
            <color indexed="81"/>
            <rFont val="Tahoma"/>
            <family val="2"/>
          </rPr>
          <t>2013-14 published ASCOF count (rounded to nearest 5)</t>
        </r>
        <r>
          <rPr>
            <sz val="8"/>
            <color indexed="81"/>
            <rFont val="Tahoma"/>
            <family val="2"/>
          </rPr>
          <t xml:space="preserve">
</t>
        </r>
      </text>
    </comment>
    <comment ref="D20" authorId="0">
      <text>
        <r>
          <rPr>
            <b/>
            <sz val="8"/>
            <color indexed="81"/>
            <rFont val="Tahoma"/>
            <family val="2"/>
          </rPr>
          <t>This will show as red if this has decreased (allowing for rounding in baseline figure) from the baseline</t>
        </r>
      </text>
    </comment>
    <comment ref="E20" authorId="0">
      <text>
        <r>
          <rPr>
            <b/>
            <sz val="8"/>
            <color indexed="81"/>
            <rFont val="Tahoma"/>
            <family val="2"/>
          </rPr>
          <t>This will show as red if this has decreased from the 14-15 plan</t>
        </r>
        <r>
          <rPr>
            <sz val="8"/>
            <color indexed="81"/>
            <rFont val="Tahoma"/>
            <family val="2"/>
          </rPr>
          <t xml:space="preserve">
</t>
        </r>
      </text>
    </comment>
    <comment ref="H20" authorId="0">
      <text>
        <r>
          <rPr>
            <sz val="8"/>
            <color indexed="81"/>
            <rFont val="Tahoma"/>
            <family val="2"/>
          </rPr>
          <t xml:space="preserve">If the number offered reablement has decreased
</t>
        </r>
      </text>
    </comment>
    <comment ref="G23" authorId="0">
      <text>
        <r>
          <rPr>
            <b/>
            <sz val="8"/>
            <color indexed="81"/>
            <rFont val="Tahoma"/>
            <family val="2"/>
          </rPr>
          <t>Please insert an estimate for the average total saving of reablement for the period of 91 days</t>
        </r>
      </text>
    </comment>
    <comment ref="G29" authorId="0">
      <text>
        <r>
          <rPr>
            <b/>
            <sz val="8"/>
            <color indexed="81"/>
            <rFont val="Tahoma"/>
            <family val="2"/>
          </rPr>
          <t>See cells H2-3 for meanings of R/G on these 14/15 rate figures. The baseline is the corresponding baseline quarter figure.</t>
        </r>
      </text>
    </comment>
    <comment ref="K29" authorId="0">
      <text>
        <r>
          <rPr>
            <b/>
            <sz val="8"/>
            <color indexed="81"/>
            <rFont val="Tahoma"/>
            <family val="2"/>
          </rPr>
          <t>See cells H2-3 for meanings of R/G on these 15-16 rate figures. The baseline in this case is the 14-15 figures for the same quarter.</t>
        </r>
        <r>
          <rPr>
            <sz val="8"/>
            <color indexed="81"/>
            <rFont val="Tahoma"/>
            <family val="2"/>
          </rPr>
          <t xml:space="preserve">
</t>
        </r>
      </text>
    </comment>
    <comment ref="B31" authorId="0">
      <text>
        <r>
          <rPr>
            <sz val="8"/>
            <color indexed="81"/>
            <rFont val="Tahoma"/>
            <family val="2"/>
          </rPr>
          <t xml:space="preserve">These are the most  appropriate 18+ ONS population estimates or projections relevant to each quarter.
</t>
        </r>
      </text>
    </comment>
    <comment ref="P34" authorId="0">
      <text>
        <r>
          <rPr>
            <b/>
            <sz val="8"/>
            <color indexed="81"/>
            <rFont val="Tahoma"/>
            <family val="2"/>
          </rPr>
          <t>This figure can be adjusted if there is a robust local estimate for this</t>
        </r>
        <r>
          <rPr>
            <sz val="8"/>
            <color indexed="81"/>
            <rFont val="Tahoma"/>
            <family val="2"/>
          </rPr>
          <t xml:space="preserve">
</t>
        </r>
      </text>
    </comment>
    <comment ref="D37" authorId="0">
      <text>
        <r>
          <rPr>
            <b/>
            <sz val="8"/>
            <color indexed="81"/>
            <rFont val="Tahoma"/>
            <family val="2"/>
          </rPr>
          <t>If the baseline is from 13-14 then a 14-15 plan should be submitted</t>
        </r>
        <r>
          <rPr>
            <sz val="8"/>
            <color indexed="81"/>
            <rFont val="Tahoma"/>
            <family val="2"/>
          </rPr>
          <t xml:space="preserve">
</t>
        </r>
      </text>
    </comment>
    <comment ref="D46" authorId="0">
      <text>
        <r>
          <rPr>
            <b/>
            <sz val="8"/>
            <color indexed="81"/>
            <rFont val="Tahoma"/>
            <family val="2"/>
          </rPr>
          <t>If the baseline is from 13-14 then a 14-15 plan should be submitted</t>
        </r>
        <r>
          <rPr>
            <sz val="8"/>
            <color indexed="81"/>
            <rFont val="Tahoma"/>
            <family val="2"/>
          </rPr>
          <t xml:space="preserve">
</t>
        </r>
      </text>
    </comment>
    <comment ref="C47" authorId="0">
      <text>
        <r>
          <rPr>
            <sz val="8"/>
            <color indexed="81"/>
            <rFont val="Tahoma"/>
            <family val="2"/>
          </rPr>
          <t>This should show the start and end month and year e.g. Apr-13 to Mar-14</t>
        </r>
      </text>
    </comment>
    <comment ref="B48" authorId="0">
      <text>
        <r>
          <rPr>
            <sz val="8"/>
            <color indexed="81"/>
            <rFont val="Tahoma"/>
            <family val="2"/>
          </rPr>
          <t xml:space="preserve">This should be the monthly average rate i.e. the numerator divided by the denominator divided by the time period in months, and then multiplied appropriately e.g. 100,000,100%
</t>
        </r>
      </text>
    </comment>
  </commentList>
</comments>
</file>

<file path=xl/comments3.xml><?xml version="1.0" encoding="utf-8"?>
<comments xmlns="http://schemas.openxmlformats.org/spreadsheetml/2006/main">
  <authors>
    <author>Simon Chappell</author>
  </authors>
  <commentList>
    <comment ref="C35" authorId="0">
      <text>
        <r>
          <rPr>
            <b/>
            <sz val="8"/>
            <color indexed="81"/>
            <rFont val="Tahoma"/>
            <family val="2"/>
          </rPr>
          <t xml:space="preserve">ONS all-age population estimates or projections appropriate for each year. 
</t>
        </r>
        <r>
          <rPr>
            <sz val="8"/>
            <color indexed="81"/>
            <rFont val="Tahoma"/>
            <family val="2"/>
          </rPr>
          <t xml:space="preserve">
</t>
        </r>
      </text>
    </comment>
    <comment ref="C45" authorId="0">
      <text>
        <r>
          <rPr>
            <b/>
            <sz val="8"/>
            <color indexed="81"/>
            <rFont val="Tahoma"/>
            <family val="2"/>
          </rPr>
          <t>ONS 65+ population estimates or projections appropriate for each year</t>
        </r>
        <r>
          <rPr>
            <sz val="8"/>
            <color indexed="81"/>
            <rFont val="Tahoma"/>
            <family val="2"/>
          </rPr>
          <t xml:space="preserve">
</t>
        </r>
      </text>
    </comment>
    <comment ref="C113" authorId="0">
      <text>
        <r>
          <rPr>
            <b/>
            <sz val="8"/>
            <color indexed="81"/>
            <rFont val="Tahoma"/>
            <family val="2"/>
          </rPr>
          <t>ONS 18+ population estimates or projections appropriate for each year</t>
        </r>
        <r>
          <rPr>
            <sz val="8"/>
            <color indexed="81"/>
            <rFont val="Tahoma"/>
            <family val="2"/>
          </rPr>
          <t xml:space="preserve">
</t>
        </r>
      </text>
    </comment>
  </commentList>
</comments>
</file>

<file path=xl/sharedStrings.xml><?xml version="1.0" encoding="utf-8"?>
<sst xmlns="http://schemas.openxmlformats.org/spreadsheetml/2006/main" count="10915" uniqueCount="1920">
  <si>
    <t>&lt;Please Select CCG&gt;</t>
  </si>
  <si>
    <t>&lt;Please select&gt;</t>
  </si>
  <si>
    <t>Acute contracts -NHS (includes Ambulance services)</t>
  </si>
  <si>
    <t>Yes</t>
  </si>
  <si>
    <t>NHS Airedale, Wharfedale and Craven CCG</t>
  </si>
  <si>
    <t>02N</t>
  </si>
  <si>
    <t>Acute</t>
  </si>
  <si>
    <t>Acute contracts - Other providers (non-nhs, incl. VS)</t>
  </si>
  <si>
    <t>CCG</t>
  </si>
  <si>
    <t>Barking and Dagenham</t>
  </si>
  <si>
    <t>No</t>
  </si>
  <si>
    <t>NHS Ashford CCG</t>
  </si>
  <si>
    <t>09C</t>
  </si>
  <si>
    <t>Mental Health</t>
  </si>
  <si>
    <t>Acute - Other</t>
  </si>
  <si>
    <t>Local Authority</t>
  </si>
  <si>
    <t>Barnet</t>
  </si>
  <si>
    <t>NHS Aylesbury Vale CCG</t>
  </si>
  <si>
    <t>10Y</t>
  </si>
  <si>
    <t>Community Health</t>
  </si>
  <si>
    <t>Acute - Exclusions / cost per case</t>
  </si>
  <si>
    <t>NHS England</t>
  </si>
  <si>
    <t>NHS Community Provider</t>
  </si>
  <si>
    <t>Barnsley</t>
  </si>
  <si>
    <t>NHS Barking &amp; Dagenham CCG</t>
  </si>
  <si>
    <t>07L</t>
  </si>
  <si>
    <t>Continuing Care</t>
  </si>
  <si>
    <t>Acute - NCAs</t>
  </si>
  <si>
    <t>Other</t>
  </si>
  <si>
    <t>Bath and North East Somerset</t>
  </si>
  <si>
    <t>NHS Barnet CCG</t>
  </si>
  <si>
    <t>07M</t>
  </si>
  <si>
    <t>Primary Care</t>
  </si>
  <si>
    <t>Acute - Pass-through payments</t>
  </si>
  <si>
    <t>Bedford</t>
  </si>
  <si>
    <t>NHS Barnsley CCG</t>
  </si>
  <si>
    <t>02P</t>
  </si>
  <si>
    <t>Other Programme Services</t>
  </si>
  <si>
    <t>Charity/Voluntary Sector</t>
  </si>
  <si>
    <t>Bexley</t>
  </si>
  <si>
    <t>NHS Basildon and Brentwood CCG</t>
  </si>
  <si>
    <t>99E</t>
  </si>
  <si>
    <t>Running Costs</t>
  </si>
  <si>
    <t>Sub-total Acute services</t>
  </si>
  <si>
    <t>Private Sector</t>
  </si>
  <si>
    <t>Birmingham</t>
  </si>
  <si>
    <t>NHS Bassetlaw CCG</t>
  </si>
  <si>
    <t>02Q</t>
  </si>
  <si>
    <t>Blackburn with Darwen</t>
  </si>
  <si>
    <t>NHS Bath and North East Somerset CCG</t>
  </si>
  <si>
    <t>11E</t>
  </si>
  <si>
    <t xml:space="preserve">Mental Health services </t>
  </si>
  <si>
    <t>Blackpool</t>
  </si>
  <si>
    <t>NHS Bedfordshire CCG</t>
  </si>
  <si>
    <t>06F</t>
  </si>
  <si>
    <t>MH contracts - NHS</t>
  </si>
  <si>
    <t>Bolton</t>
  </si>
  <si>
    <t>NHS Bexley CCG</t>
  </si>
  <si>
    <t>07N</t>
  </si>
  <si>
    <t>MH contracts - Other providers (non-nhs, incl. VS)</t>
  </si>
  <si>
    <t>Bournemouth &amp; Poole</t>
  </si>
  <si>
    <t>NHS Birmingham CrossCity CCG</t>
  </si>
  <si>
    <t>04W</t>
  </si>
  <si>
    <t>MH - Other</t>
  </si>
  <si>
    <t>Bracknell Forest</t>
  </si>
  <si>
    <t>NHS Birmingham South and Central CCG</t>
  </si>
  <si>
    <t>04X</t>
  </si>
  <si>
    <t>MH - Exclusions / cost per case</t>
  </si>
  <si>
    <t>Bradford</t>
  </si>
  <si>
    <t>NHS Blackburn with Darwen CCG</t>
  </si>
  <si>
    <t>00Q</t>
  </si>
  <si>
    <t>MH - NCAs</t>
  </si>
  <si>
    <t>Brent</t>
  </si>
  <si>
    <t>NHS Blackpool CCG</t>
  </si>
  <si>
    <t>00R</t>
  </si>
  <si>
    <t>MH - Pass-through payments</t>
  </si>
  <si>
    <t>Brighton and Hove</t>
  </si>
  <si>
    <t>NHS Bolton CCG</t>
  </si>
  <si>
    <t>00T</t>
  </si>
  <si>
    <t>Bristol, City of</t>
  </si>
  <si>
    <t>NHS Bracknell and Ascot CCG</t>
  </si>
  <si>
    <t>10G</t>
  </si>
  <si>
    <t>Sub-total MH services</t>
  </si>
  <si>
    <t>Bromley</t>
  </si>
  <si>
    <t>NHS Bradford City CCG</t>
  </si>
  <si>
    <t>02W</t>
  </si>
  <si>
    <t>Buckinghamshire</t>
  </si>
  <si>
    <t>NHS Bradford Districts CCG</t>
  </si>
  <si>
    <t>02R</t>
  </si>
  <si>
    <t>Community Health Services</t>
  </si>
  <si>
    <t>Bury</t>
  </si>
  <si>
    <t>NHS Brent CCG</t>
  </si>
  <si>
    <t>07P</t>
  </si>
  <si>
    <t>CH Contracts - NHS</t>
  </si>
  <si>
    <t>Calderdale</t>
  </si>
  <si>
    <t>NHS Brighton &amp; Hove CCG</t>
  </si>
  <si>
    <t>09D</t>
  </si>
  <si>
    <t>CH Contracts - Other providers (non-nhs, incl. VS)</t>
  </si>
  <si>
    <t>Cambridgeshire</t>
  </si>
  <si>
    <t>NHS Bristol CCG</t>
  </si>
  <si>
    <t>11H</t>
  </si>
  <si>
    <t>CH - Other</t>
  </si>
  <si>
    <t>Camden</t>
  </si>
  <si>
    <t>NHS Bromley CCG</t>
  </si>
  <si>
    <t>07Q</t>
  </si>
  <si>
    <t>CH - Exclusions / cost per case</t>
  </si>
  <si>
    <t>Central Bedfordshire</t>
  </si>
  <si>
    <t>NHS Bury CCG</t>
  </si>
  <si>
    <t>00V</t>
  </si>
  <si>
    <t>CH - NCAs</t>
  </si>
  <si>
    <t>Cheshire East</t>
  </si>
  <si>
    <t>NHS Calderdale CCG</t>
  </si>
  <si>
    <t>02T</t>
  </si>
  <si>
    <t>CH - Pass-through payments</t>
  </si>
  <si>
    <t>Cheshire West and Chester</t>
  </si>
  <si>
    <t>NHS Cambridgeshire and Peterborough CCG</t>
  </si>
  <si>
    <t>06H</t>
  </si>
  <si>
    <t>City of London</t>
  </si>
  <si>
    <t>NHS Camden CCG</t>
  </si>
  <si>
    <t>07R</t>
  </si>
  <si>
    <t>Sub-total Community services</t>
  </si>
  <si>
    <t>Cornwall</t>
  </si>
  <si>
    <t>NHS Cannock Chase CCG</t>
  </si>
  <si>
    <t>04Y</t>
  </si>
  <si>
    <t>County Durham</t>
  </si>
  <si>
    <t>NHS Canterbury and Coastal CCG</t>
  </si>
  <si>
    <t>09E</t>
  </si>
  <si>
    <t>Continuing Care Services (All Care Groups)</t>
  </si>
  <si>
    <t>Coventry</t>
  </si>
  <si>
    <t>NHS Castle Point, Rayleigh and Rochford CCG</t>
  </si>
  <si>
    <t>99F</t>
  </si>
  <si>
    <t>Local Authority / Joint Services</t>
  </si>
  <si>
    <t>Croydon</t>
  </si>
  <si>
    <t>NHS Central London (Westminster) CCG</t>
  </si>
  <si>
    <t>09A</t>
  </si>
  <si>
    <t>Free Nursing Care</t>
  </si>
  <si>
    <t>Cumbria</t>
  </si>
  <si>
    <t>NHS Central Manchester CCG</t>
  </si>
  <si>
    <t>00W</t>
  </si>
  <si>
    <t>Darlington</t>
  </si>
  <si>
    <t>NHS Chiltern CCG</t>
  </si>
  <si>
    <t>10H</t>
  </si>
  <si>
    <t>Sub-total Continuing Care  services</t>
  </si>
  <si>
    <t>Derby</t>
  </si>
  <si>
    <t>NHS Chorley and South Ribble CCG</t>
  </si>
  <si>
    <t>00X</t>
  </si>
  <si>
    <t>Derbyshire</t>
  </si>
  <si>
    <t>NHS City and Hackney CCG</t>
  </si>
  <si>
    <t>07T</t>
  </si>
  <si>
    <t>Primary Care services</t>
  </si>
  <si>
    <t>Devon</t>
  </si>
  <si>
    <t>NHS Coastal West Sussex CCG</t>
  </si>
  <si>
    <t>09G</t>
  </si>
  <si>
    <t>Prescribing</t>
  </si>
  <si>
    <t>Doncaster</t>
  </si>
  <si>
    <t>NHS Corby CCG</t>
  </si>
  <si>
    <t>03V</t>
  </si>
  <si>
    <t>Enhanced services</t>
  </si>
  <si>
    <t>Dorset</t>
  </si>
  <si>
    <t>NHS Coventry and Rugby CCG</t>
  </si>
  <si>
    <t>05A</t>
  </si>
  <si>
    <t>Out of Hours</t>
  </si>
  <si>
    <t>Dudley</t>
  </si>
  <si>
    <t>NHS Crawley CCG</t>
  </si>
  <si>
    <t>09H</t>
  </si>
  <si>
    <t>PC - Other</t>
  </si>
  <si>
    <t>Ealing</t>
  </si>
  <si>
    <t>NHS Croydon CCG</t>
  </si>
  <si>
    <t>07V</t>
  </si>
  <si>
    <t>East Riding of Yorkshire</t>
  </si>
  <si>
    <t>NHS Cumbria CCG</t>
  </si>
  <si>
    <t>01H</t>
  </si>
  <si>
    <t>Sub-total Primary Care services</t>
  </si>
  <si>
    <t>East Sussex</t>
  </si>
  <si>
    <t>NHS Darlington CCG</t>
  </si>
  <si>
    <t>00C</t>
  </si>
  <si>
    <t>Enfield</t>
  </si>
  <si>
    <t>NHS Dartford, Gravesham and Swanley CCG</t>
  </si>
  <si>
    <t>09J</t>
  </si>
  <si>
    <t>Other Programme services</t>
  </si>
  <si>
    <t>Essex</t>
  </si>
  <si>
    <t>NHS Doncaster CCG</t>
  </si>
  <si>
    <t>02X</t>
  </si>
  <si>
    <t>GP IT Costs</t>
  </si>
  <si>
    <t>Gateshead</t>
  </si>
  <si>
    <t>NHS Dorset CCG</t>
  </si>
  <si>
    <t>11J</t>
  </si>
  <si>
    <t>Voluntary Sector Grants / Services</t>
  </si>
  <si>
    <t>Gloucestershire</t>
  </si>
  <si>
    <t>NHS Dudley CCG</t>
  </si>
  <si>
    <t>05C</t>
  </si>
  <si>
    <t>Other CCG reserves</t>
  </si>
  <si>
    <t>Greenwich</t>
  </si>
  <si>
    <t>NHS Durham Dales, Easington and Sedgefield CCG</t>
  </si>
  <si>
    <t>00D</t>
  </si>
  <si>
    <t>Hackney</t>
  </si>
  <si>
    <t>NHS Ealing CCG</t>
  </si>
  <si>
    <t>07W</t>
  </si>
  <si>
    <t>Halton</t>
  </si>
  <si>
    <t>NHS East and North Hertfordshire CCG</t>
  </si>
  <si>
    <t>06K</t>
  </si>
  <si>
    <t>Sub-total Other Programme services</t>
  </si>
  <si>
    <t>Hammersmith and Fulham</t>
  </si>
  <si>
    <t>NHS EAST LANCASHIRE CCG</t>
  </si>
  <si>
    <t>01A</t>
  </si>
  <si>
    <t>Hampshire</t>
  </si>
  <si>
    <t>NHS East Leicestershire and Rutland CCG</t>
  </si>
  <si>
    <t>03W</t>
  </si>
  <si>
    <t xml:space="preserve">Total - Commissioning services </t>
  </si>
  <si>
    <t>Haringey</t>
  </si>
  <si>
    <t>NHS East Riding of Yorkshire CCG</t>
  </si>
  <si>
    <t>02Y</t>
  </si>
  <si>
    <t>Harrow</t>
  </si>
  <si>
    <t>NHS East Staffordshire CCG</t>
  </si>
  <si>
    <t>05D</t>
  </si>
  <si>
    <t>Hartlepool</t>
  </si>
  <si>
    <t>NHS East Surrey CCG</t>
  </si>
  <si>
    <t>09L</t>
  </si>
  <si>
    <t>CCG Pay costs</t>
  </si>
  <si>
    <t>Havering</t>
  </si>
  <si>
    <t>NHS Eastbourne, Hailsham and Seaford CCG</t>
  </si>
  <si>
    <t>09F</t>
  </si>
  <si>
    <t>CSU Re-charge</t>
  </si>
  <si>
    <t>Herefordshire, County of</t>
  </si>
  <si>
    <t>NHS Eastern Cheshire CCG</t>
  </si>
  <si>
    <t>01C</t>
  </si>
  <si>
    <t>NHS Property Services re-charge</t>
  </si>
  <si>
    <t>Hertfordshire</t>
  </si>
  <si>
    <t>NHS ENFIELD CCG</t>
  </si>
  <si>
    <t>07X</t>
  </si>
  <si>
    <t>Running Costs - Other Non-pay</t>
  </si>
  <si>
    <t>Hillingdon</t>
  </si>
  <si>
    <t>NHS Erewash CCG</t>
  </si>
  <si>
    <t>03X</t>
  </si>
  <si>
    <t>Hounslow</t>
  </si>
  <si>
    <t>NHS Fareham and Gosport CCG</t>
  </si>
  <si>
    <t>10K</t>
  </si>
  <si>
    <t>Total - Running costs</t>
  </si>
  <si>
    <t>Isle of Wight</t>
  </si>
  <si>
    <t>NHS Fylde &amp; Wyre CCG</t>
  </si>
  <si>
    <t>02M</t>
  </si>
  <si>
    <t>Isles of Scilly</t>
  </si>
  <si>
    <t>NHS Gateshead CCG</t>
  </si>
  <si>
    <t>00F</t>
  </si>
  <si>
    <t>Contingency</t>
  </si>
  <si>
    <t>Islington</t>
  </si>
  <si>
    <t>NHS Gloucestershire CCG</t>
  </si>
  <si>
    <t>11M</t>
  </si>
  <si>
    <t>Kensington and Chelsea</t>
  </si>
  <si>
    <t>NHS Great Yarmouth &amp; Waveney CCG</t>
  </si>
  <si>
    <t>06M</t>
  </si>
  <si>
    <t xml:space="preserve">Total Application of Funds </t>
  </si>
  <si>
    <t>Kent</t>
  </si>
  <si>
    <t>NHS Greater Huddersfield CCG</t>
  </si>
  <si>
    <t>03A</t>
  </si>
  <si>
    <t>Kingston upon Hull, City of</t>
  </si>
  <si>
    <t>NHS Greater Preston CCG</t>
  </si>
  <si>
    <t>01E</t>
  </si>
  <si>
    <t>Kingston upon Thames</t>
  </si>
  <si>
    <t>NHS Greenwich CCG</t>
  </si>
  <si>
    <t>08A</t>
  </si>
  <si>
    <t>Kirklees</t>
  </si>
  <si>
    <t>NHS Guildford and Waverley CCG</t>
  </si>
  <si>
    <t>09N</t>
  </si>
  <si>
    <t>Knowsley</t>
  </si>
  <si>
    <t>NHS Halton CCG</t>
  </si>
  <si>
    <t>01F</t>
  </si>
  <si>
    <t>Lambeth</t>
  </si>
  <si>
    <t>NHS Hambleton, Richmondshire and Whitby CCG</t>
  </si>
  <si>
    <t>03D</t>
  </si>
  <si>
    <t>Lancashire</t>
  </si>
  <si>
    <t>NHS Hammersmith and Fulham CCG</t>
  </si>
  <si>
    <t>08C</t>
  </si>
  <si>
    <t>Leeds</t>
  </si>
  <si>
    <t>NHS Hardwick CCG</t>
  </si>
  <si>
    <t>03Y</t>
  </si>
  <si>
    <t>Leicester</t>
  </si>
  <si>
    <t>NHS Haringey CCG</t>
  </si>
  <si>
    <t>08D</t>
  </si>
  <si>
    <t>Leicestershire</t>
  </si>
  <si>
    <t>NHS Harrogate and Rural District CCG</t>
  </si>
  <si>
    <t>03E</t>
  </si>
  <si>
    <t>Lewisham</t>
  </si>
  <si>
    <t>NHS Harrow CCG</t>
  </si>
  <si>
    <t>08E</t>
  </si>
  <si>
    <t>Lincolnshire</t>
  </si>
  <si>
    <t>NHS Hartlepool and Stockton-on-Tees CCG</t>
  </si>
  <si>
    <t>00K</t>
  </si>
  <si>
    <t>Liverpool</t>
  </si>
  <si>
    <t>NHS Hastings &amp; Rother CCG</t>
  </si>
  <si>
    <t>09P</t>
  </si>
  <si>
    <t>Luton</t>
  </si>
  <si>
    <t>NHS Havering CCG</t>
  </si>
  <si>
    <t>08F</t>
  </si>
  <si>
    <t>Manchester</t>
  </si>
  <si>
    <t>NHS Herefordshire CCG</t>
  </si>
  <si>
    <t>05F</t>
  </si>
  <si>
    <t>Medway</t>
  </si>
  <si>
    <t>NHS Herts Valleys CCG</t>
  </si>
  <si>
    <t>06N</t>
  </si>
  <si>
    <t>Merton</t>
  </si>
  <si>
    <t>NHS Heywood, Middleton &amp; Rochdale CCG</t>
  </si>
  <si>
    <t>01D</t>
  </si>
  <si>
    <t>Middlesbrough</t>
  </si>
  <si>
    <t>NHS High Weald Lewes Havens CCG</t>
  </si>
  <si>
    <t>99K</t>
  </si>
  <si>
    <t>Milton Keynes</t>
  </si>
  <si>
    <t>NHS Hillingdon CCG</t>
  </si>
  <si>
    <t>08G</t>
  </si>
  <si>
    <t>Newcastle upon Tyne</t>
  </si>
  <si>
    <t>NHS Horsham and Mid Sussex CCG</t>
  </si>
  <si>
    <t>09X</t>
  </si>
  <si>
    <t>Newham</t>
  </si>
  <si>
    <t>NHS Hounslow CCG</t>
  </si>
  <si>
    <t>07Y</t>
  </si>
  <si>
    <t>Norfolk</t>
  </si>
  <si>
    <t>NHS Hull CCG</t>
  </si>
  <si>
    <t>03F</t>
  </si>
  <si>
    <t>North East Lincolnshire</t>
  </si>
  <si>
    <t>NHS Ipswich and East Suffolk CCG</t>
  </si>
  <si>
    <t>06L</t>
  </si>
  <si>
    <t>North Lincolnshire</t>
  </si>
  <si>
    <t>NHS Isle of Wight CCG</t>
  </si>
  <si>
    <t>10L</t>
  </si>
  <si>
    <t>North Somerset</t>
  </si>
  <si>
    <t>NHS Islington CCG</t>
  </si>
  <si>
    <t>08H</t>
  </si>
  <si>
    <t>North Tyneside</t>
  </si>
  <si>
    <t>NHS Kernow CCG</t>
  </si>
  <si>
    <t>11N</t>
  </si>
  <si>
    <t>North Yorkshire</t>
  </si>
  <si>
    <t>NHS Kingston CCG</t>
  </si>
  <si>
    <t>08J</t>
  </si>
  <si>
    <t>Northamptonshire</t>
  </si>
  <si>
    <t>NHS Knowsley CCG</t>
  </si>
  <si>
    <t>01J</t>
  </si>
  <si>
    <t>Northumberland</t>
  </si>
  <si>
    <t>NHS Lambeth CCG</t>
  </si>
  <si>
    <t>08K</t>
  </si>
  <si>
    <t>Nottingham</t>
  </si>
  <si>
    <t>NHS Lancashire North CCG</t>
  </si>
  <si>
    <t>01K</t>
  </si>
  <si>
    <t>Nottinghamshire</t>
  </si>
  <si>
    <t>NHS Leeds North CCG</t>
  </si>
  <si>
    <t>02V</t>
  </si>
  <si>
    <t>Oldham</t>
  </si>
  <si>
    <t>NHS Leeds South and East CCG</t>
  </si>
  <si>
    <t>03G</t>
  </si>
  <si>
    <t>Oxfordshire</t>
  </si>
  <si>
    <t>NHS Leeds West CCG</t>
  </si>
  <si>
    <t>03C</t>
  </si>
  <si>
    <t>Peterborough</t>
  </si>
  <si>
    <t>NHS Leicester City CCG</t>
  </si>
  <si>
    <t>04C</t>
  </si>
  <si>
    <t>Plymouth</t>
  </si>
  <si>
    <t>NHS Lewisham CCG</t>
  </si>
  <si>
    <t>08L</t>
  </si>
  <si>
    <t>Portsmouth</t>
  </si>
  <si>
    <t>NHS Lincolnshire East CCG</t>
  </si>
  <si>
    <t>03T</t>
  </si>
  <si>
    <t>Reading</t>
  </si>
  <si>
    <t>NHS Lincolnshire West CCG</t>
  </si>
  <si>
    <t>04D</t>
  </si>
  <si>
    <t>Redbridge</t>
  </si>
  <si>
    <t>NHS Liverpool CCG</t>
  </si>
  <si>
    <t>99A</t>
  </si>
  <si>
    <t>Redcar and Cleveland</t>
  </si>
  <si>
    <t>NHS Luton CCG</t>
  </si>
  <si>
    <t>06P</t>
  </si>
  <si>
    <t>Richmond upon Thames</t>
  </si>
  <si>
    <t>NHS Mansfield &amp; Ashfield CCG</t>
  </si>
  <si>
    <t>04E</t>
  </si>
  <si>
    <t>Rochdale</t>
  </si>
  <si>
    <t>NHS Medway CCG</t>
  </si>
  <si>
    <t>09W</t>
  </si>
  <si>
    <t>Rotherham</t>
  </si>
  <si>
    <t>NHS Merton CCG</t>
  </si>
  <si>
    <t>08R</t>
  </si>
  <si>
    <t>Rutland</t>
  </si>
  <si>
    <t>NHS Mid Essex CCG</t>
  </si>
  <si>
    <t>06Q</t>
  </si>
  <si>
    <t>Salford</t>
  </si>
  <si>
    <t>NHS Milton Keynes CCG</t>
  </si>
  <si>
    <t>04F</t>
  </si>
  <si>
    <t>Sandwell</t>
  </si>
  <si>
    <t>NHS Nene CCG</t>
  </si>
  <si>
    <t>04G</t>
  </si>
  <si>
    <t>Sefton</t>
  </si>
  <si>
    <t>NHS Newark &amp; Sherwood CCG</t>
  </si>
  <si>
    <t>04H</t>
  </si>
  <si>
    <t>Sheffield</t>
  </si>
  <si>
    <t>NHS Newbury and District CCG</t>
  </si>
  <si>
    <t>10M</t>
  </si>
  <si>
    <t>Shropshire</t>
  </si>
  <si>
    <t>NHS Newcastle North and East CCG</t>
  </si>
  <si>
    <t>00G</t>
  </si>
  <si>
    <t>Slough</t>
  </si>
  <si>
    <t>NHS Newcastle West CCG</t>
  </si>
  <si>
    <t>00H</t>
  </si>
  <si>
    <t>Solihull</t>
  </si>
  <si>
    <t>NHS Newham CCG</t>
  </si>
  <si>
    <t>08M</t>
  </si>
  <si>
    <t>Somerset</t>
  </si>
  <si>
    <t>NHS North &amp; West Reading CCG</t>
  </si>
  <si>
    <t>10N</t>
  </si>
  <si>
    <t>South Gloucestershire</t>
  </si>
  <si>
    <t>NHS North Derbyshire CCG</t>
  </si>
  <si>
    <t>04J</t>
  </si>
  <si>
    <t>South Tyneside</t>
  </si>
  <si>
    <t>NHS North Durham CCG</t>
  </si>
  <si>
    <t>00J</t>
  </si>
  <si>
    <t>Southampton</t>
  </si>
  <si>
    <t>NHS North East Essex CCG</t>
  </si>
  <si>
    <t>06T</t>
  </si>
  <si>
    <t>Southend-on-Sea</t>
  </si>
  <si>
    <t>NHS North East Hampshire and Farnham CCG</t>
  </si>
  <si>
    <t>99M</t>
  </si>
  <si>
    <t>Southwark</t>
  </si>
  <si>
    <t>NHS North East Lincolnshire CCG</t>
  </si>
  <si>
    <t>03H</t>
  </si>
  <si>
    <t>St. Helens</t>
  </si>
  <si>
    <t>NHS North Hampshire CCG</t>
  </si>
  <si>
    <t>10J</t>
  </si>
  <si>
    <t>Staffordshire</t>
  </si>
  <si>
    <t>NHS North Kirklees CCG</t>
  </si>
  <si>
    <t>03J</t>
  </si>
  <si>
    <t>Stockport</t>
  </si>
  <si>
    <t>NHS North Lincolnshire CCG</t>
  </si>
  <si>
    <t>03K</t>
  </si>
  <si>
    <t>Stockton-on-Tees</t>
  </si>
  <si>
    <t>NHS North Manchester CCG</t>
  </si>
  <si>
    <t>01M</t>
  </si>
  <si>
    <t>Stoke-on-Trent</t>
  </si>
  <si>
    <t>NHS North Norfolk CCG</t>
  </si>
  <si>
    <t>06V</t>
  </si>
  <si>
    <t>Suffolk</t>
  </si>
  <si>
    <t>NHS North Somerset CCG</t>
  </si>
  <si>
    <t>11T</t>
  </si>
  <si>
    <t>Sunderland</t>
  </si>
  <si>
    <t>NHS North Staffordshire CCG</t>
  </si>
  <si>
    <t>05G</t>
  </si>
  <si>
    <t>Surrey</t>
  </si>
  <si>
    <t>NHS North Tyneside CCG</t>
  </si>
  <si>
    <t>99C</t>
  </si>
  <si>
    <t>Sutton</t>
  </si>
  <si>
    <t>NHS North West Surrey CCG</t>
  </si>
  <si>
    <t>09Y</t>
  </si>
  <si>
    <t>Swindon</t>
  </si>
  <si>
    <t>NHS North, East, West Devon CCG</t>
  </si>
  <si>
    <t>99P</t>
  </si>
  <si>
    <t>Tameside</t>
  </si>
  <si>
    <t>NHS Northumberland CCG</t>
  </si>
  <si>
    <t>00L</t>
  </si>
  <si>
    <t>Telford and Wrekin</t>
  </si>
  <si>
    <t>NHS Norwich CCG</t>
  </si>
  <si>
    <t>06W</t>
  </si>
  <si>
    <t>Thurrock</t>
  </si>
  <si>
    <t>NHS Nottingham City CCG</t>
  </si>
  <si>
    <t>04K</t>
  </si>
  <si>
    <t>Torbay</t>
  </si>
  <si>
    <t>NHS Nottingham North &amp; East CCG</t>
  </si>
  <si>
    <t>04L</t>
  </si>
  <si>
    <t>Tower Hamlets</t>
  </si>
  <si>
    <t>NHS Nottingham West CCG</t>
  </si>
  <si>
    <t>04M</t>
  </si>
  <si>
    <t>Trafford</t>
  </si>
  <si>
    <t>NHS Oldham CCG</t>
  </si>
  <si>
    <t>00Y</t>
  </si>
  <si>
    <t>Wakefield</t>
  </si>
  <si>
    <t>NHS Oxfordshire CCG</t>
  </si>
  <si>
    <t>10Q</t>
  </si>
  <si>
    <t>Walsall</t>
  </si>
  <si>
    <t>NHS Portsmouth CCG</t>
  </si>
  <si>
    <t>10R</t>
  </si>
  <si>
    <t>Waltham Forest</t>
  </si>
  <si>
    <t>NHS Redbridge CCG</t>
  </si>
  <si>
    <t>08N</t>
  </si>
  <si>
    <t>Wandsworth</t>
  </si>
  <si>
    <t>NHS Redditch and Bromsgrove CCG</t>
  </si>
  <si>
    <t>05J</t>
  </si>
  <si>
    <t>Warrington</t>
  </si>
  <si>
    <t>NHS Richmond CCG</t>
  </si>
  <si>
    <t>08P</t>
  </si>
  <si>
    <t>Warwickshire</t>
  </si>
  <si>
    <t>NHS Rotherham CCG</t>
  </si>
  <si>
    <t>03L</t>
  </si>
  <si>
    <t>West Berkshire</t>
  </si>
  <si>
    <t>NHS Rushcliffe CCG</t>
  </si>
  <si>
    <t>04N</t>
  </si>
  <si>
    <t>West Sussex</t>
  </si>
  <si>
    <t>NHS Salford CCG</t>
  </si>
  <si>
    <t>01G</t>
  </si>
  <si>
    <t>Westminster</t>
  </si>
  <si>
    <t>NHS Sandwell and West Birmingham CCG</t>
  </si>
  <si>
    <t>05L</t>
  </si>
  <si>
    <t>Wigan</t>
  </si>
  <si>
    <t>NHS Scarborough and Ryedale CCG</t>
  </si>
  <si>
    <t>03M</t>
  </si>
  <si>
    <t>Wiltshire</t>
  </si>
  <si>
    <t>NHS Sheffield CCG</t>
  </si>
  <si>
    <t>03N</t>
  </si>
  <si>
    <t>Windsor and Maidenhead</t>
  </si>
  <si>
    <t>NHS Shropshire CCG</t>
  </si>
  <si>
    <t>05N</t>
  </si>
  <si>
    <t>Wirral</t>
  </si>
  <si>
    <t>NHS Slough CCG</t>
  </si>
  <si>
    <t>10T</t>
  </si>
  <si>
    <t>Wokingham</t>
  </si>
  <si>
    <t>NHS Solihull CCG</t>
  </si>
  <si>
    <t>05P</t>
  </si>
  <si>
    <t>Wolverhampton</t>
  </si>
  <si>
    <t>NHS Somerset CCG</t>
  </si>
  <si>
    <t>11X</t>
  </si>
  <si>
    <t>Worcestershire</t>
  </si>
  <si>
    <t>NHS South Cheshire CCG</t>
  </si>
  <si>
    <t>01R</t>
  </si>
  <si>
    <t>York</t>
  </si>
  <si>
    <t>NHS South Devon and Torbay CCG</t>
  </si>
  <si>
    <t>99Q</t>
  </si>
  <si>
    <t>NHS South East Staffs and Seisdon and Peninsular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</si>
  <si>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</si>
  <si>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</si>
  <si>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</si>
  <si>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</si>
  <si>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</si>
  <si>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</si>
  <si>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</si>
  <si>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</si>
  <si>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</si>
  <si>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</si>
  <si>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</si>
  <si>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</si>
  <si>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</si>
  <si>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</si>
  <si>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</si>
  <si>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</si>
  <si>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</si>
  <si>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</si>
  <si>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</si>
  <si>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</si>
  <si>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</si>
  <si>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</si>
  <si>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</si>
  <si>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 xml:space="preserve">NHS South West Lincolnshire CCG </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</si>
  <si>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</si>
  <si>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</si>
  <si>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</si>
  <si>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</si>
  <si>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</si>
  <si>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</si>
  <si>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</si>
  <si>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</si>
  <si>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</si>
  <si>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</si>
  <si>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</si>
  <si>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</si>
  <si>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</si>
  <si>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</si>
  <si>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</si>
  <si>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</si>
  <si>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</si>
  <si>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</si>
  <si>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</si>
  <si>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</si>
  <si>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</si>
  <si>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</si>
  <si>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</si>
  <si>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</si>
  <si>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</si>
  <si>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</si>
  <si>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</si>
  <si>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</si>
  <si>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</si>
  <si>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</si>
  <si>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</si>
  <si>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</si>
  <si>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</si>
  <si>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</si>
  <si>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</si>
  <si>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&amp; Wrekin CCG</t>
  </si>
  <si>
    <t>05X</t>
  </si>
  <si>
    <t>NHS Thanet CCG</t>
  </si>
  <si>
    <t>10E</t>
  </si>
  <si>
    <t>NHS Thurrock CCG</t>
  </si>
  <si>
    <t>07G</t>
  </si>
  <si>
    <t>NHS Tower Hamlets CCG</t>
  </si>
  <si>
    <t>08V</t>
  </si>
  <si>
    <t>NHS Trafford CCG</t>
  </si>
  <si>
    <t>02A</t>
  </si>
  <si>
    <t>NHS Vale of York CCG</t>
  </si>
  <si>
    <t>03Q</t>
  </si>
  <si>
    <t>NHS Vale Royal CCG</t>
  </si>
  <si>
    <t>02D</t>
  </si>
  <si>
    <t xml:space="preserve">NHS Wakefield CCG </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</si>
  <si>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</si>
  <si>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</si>
  <si>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</si>
  <si>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</si>
  <si>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</si>
  <si>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</si>
  <si>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</si>
  <si>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</si>
  <si>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</si>
  <si>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</si>
  <si>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</si>
  <si>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</si>
  <si>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</si>
  <si>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</si>
  <si>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</si>
  <si>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</si>
  <si>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</si>
  <si>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</si>
  <si>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</si>
  <si>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</si>
  <si>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</si>
  <si>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</si>
  <si>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</si>
  <si>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(K&amp;C &amp; QPP)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</si>
  <si>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</si>
  <si>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</si>
  <si>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</si>
  <si>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</si>
  <si>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</si>
  <si>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</si>
  <si>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</si>
  <si>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</si>
  <si>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</si>
  <si>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</si>
  <si>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</si>
  <si>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</si>
  <si>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</si>
  <si>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</si>
  <si>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</si>
  <si>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</si>
  <si>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</si>
  <si>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</si>
  <si>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</si>
  <si>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Scheme Name</t>
  </si>
  <si>
    <t>Area of Spend</t>
  </si>
  <si>
    <t>Specific Line in Financial Plan</t>
  </si>
  <si>
    <t>Commissioner</t>
  </si>
  <si>
    <t>Provider</t>
  </si>
  <si>
    <t>2014/15</t>
  </si>
  <si>
    <t>2015/16</t>
  </si>
  <si>
    <t>Total</t>
  </si>
  <si>
    <t>Social Care</t>
  </si>
  <si>
    <t>Local Authority Social Services</t>
  </si>
  <si>
    <t>Total Contribution</t>
  </si>
  <si>
    <t>Total Local Authority Contribution</t>
  </si>
  <si>
    <t>&lt;Please select HWB&gt;</t>
  </si>
  <si>
    <t>E09000002</t>
  </si>
  <si>
    <t>E09000003</t>
  </si>
  <si>
    <t>E08000016</t>
  </si>
  <si>
    <t>E06000022</t>
  </si>
  <si>
    <t>E06000055</t>
  </si>
  <si>
    <t>E09000004</t>
  </si>
  <si>
    <t>E08000025</t>
  </si>
  <si>
    <t>E06000008</t>
  </si>
  <si>
    <t>E06000009</t>
  </si>
  <si>
    <t>E08000001</t>
  </si>
  <si>
    <t>E06000028</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</si>
  <si>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</si>
  <si>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</si>
  <si>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</si>
  <si>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</si>
  <si>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</si>
  <si>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</si>
  <si>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</si>
  <si>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</si>
  <si>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</si>
  <si>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</si>
  <si>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</si>
  <si>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</si>
  <si>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</si>
  <si>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</si>
  <si>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</si>
  <si>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</si>
  <si>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E06000047</t>
  </si>
  <si>
    <t>E08000026</t>
  </si>
  <si>
    <t>E09000008</t>
  </si>
  <si>
    <t>E10000006</t>
  </si>
  <si>
    <t>E06000005</t>
  </si>
  <si>
    <t>E06000015</t>
  </si>
  <si>
    <t>E10000007</t>
  </si>
  <si>
    <t>E10000008</t>
  </si>
  <si>
    <t>E08000017</t>
  </si>
  <si>
    <t>E10000009</t>
  </si>
  <si>
    <t>E08000027</t>
  </si>
  <si>
    <t>E09000009</t>
  </si>
  <si>
    <t>E06000011</t>
  </si>
  <si>
    <t>E10000011</t>
  </si>
  <si>
    <t>E09000010</t>
  </si>
  <si>
    <t>E10000012</t>
  </si>
  <si>
    <t>E08000020</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</si>
  <si>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</si>
  <si>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</si>
  <si>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</si>
  <si>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</si>
  <si>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</si>
  <si>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</si>
  <si>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</si>
  <si>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</si>
  <si>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</si>
  <si>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</si>
  <si>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</si>
  <si>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</si>
  <si>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</si>
  <si>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</si>
  <si>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</si>
  <si>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</si>
  <si>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</si>
  <si>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</si>
  <si>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</si>
  <si>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</si>
  <si>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</si>
  <si>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</si>
  <si>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</si>
  <si>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</si>
  <si>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</si>
  <si>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</si>
  <si>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</si>
  <si>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</si>
  <si>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</si>
  <si>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</si>
  <si>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</si>
  <si>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</si>
  <si>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</si>
  <si>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</si>
  <si>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</si>
  <si>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</si>
  <si>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</si>
  <si>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</si>
  <si>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</si>
  <si>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</si>
  <si>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</si>
  <si>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</si>
  <si>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E06000024</t>
  </si>
  <si>
    <t>E08000022</t>
  </si>
  <si>
    <t>E10000023</t>
  </si>
  <si>
    <t>E10000021</t>
  </si>
  <si>
    <t>E06000048</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</si>
  <si>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</si>
  <si>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</si>
  <si>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</si>
  <si>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</si>
  <si>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</si>
  <si>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</si>
  <si>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</si>
  <si>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</si>
  <si>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</si>
  <si>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</si>
  <si>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</si>
  <si>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</si>
  <si>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</si>
  <si>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</si>
  <si>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</si>
  <si>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</si>
  <si>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</si>
  <si>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</si>
  <si>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</si>
  <si>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</si>
  <si>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</si>
  <si>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</si>
  <si>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</si>
  <si>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</si>
  <si>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</si>
  <si>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</si>
  <si>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</si>
  <si>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</si>
  <si>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</si>
  <si>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</si>
  <si>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</si>
  <si>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</si>
  <si>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</si>
  <si>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</si>
  <si>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</si>
  <si>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</si>
  <si>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</si>
  <si>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</si>
  <si>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</si>
  <si>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</si>
  <si>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</si>
  <si>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</si>
  <si>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</si>
  <si>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</si>
  <si>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</si>
  <si>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</si>
  <si>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</si>
  <si>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</si>
  <si>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</si>
  <si>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</si>
  <si>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</si>
  <si>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</si>
  <si>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</si>
  <si>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</si>
  <si>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</si>
  <si>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</si>
  <si>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</si>
  <si>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</si>
  <si>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</si>
  <si>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</si>
  <si>
    <t>&lt;Please select Local Authority&gt;</t>
  </si>
  <si>
    <t>Expenditure</t>
  </si>
  <si>
    <t>2014/15 (£000)</t>
  </si>
  <si>
    <t>2015/16 (£000)</t>
  </si>
  <si>
    <t>Residential admissions</t>
  </si>
  <si>
    <t>Metric</t>
  </si>
  <si>
    <t>Planned 
14/15</t>
  </si>
  <si>
    <t>Planned 15/16</t>
  </si>
  <si>
    <t>Permanent admissions of older people (aged 65 and over) to residential and nursing care homes, per 100,000 population</t>
  </si>
  <si>
    <t>Metric Value</t>
  </si>
  <si>
    <t>Numerator</t>
  </si>
  <si>
    <t>Denominator</t>
  </si>
  <si>
    <t>Reablement</t>
  </si>
  <si>
    <t>Proportion of older people (65 and over) who were still at home 91 days after discharge from hospital into reablement / rehabilitation services</t>
  </si>
  <si>
    <t>Delayed transfers of care</t>
  </si>
  <si>
    <t>13-14 Baseline</t>
  </si>
  <si>
    <t>14/15 plans</t>
  </si>
  <si>
    <t>15-16 plans</t>
  </si>
  <si>
    <t xml:space="preserve"> Q1
(Apr 13 - Jun 13)</t>
  </si>
  <si>
    <t xml:space="preserve"> Q2
(Jul 13 - Sep 13)</t>
  </si>
  <si>
    <t xml:space="preserve"> Q3
(Oct 13 - Dec 13)</t>
  </si>
  <si>
    <t xml:space="preserve"> Q4
(Jan 14 - Mar 14)</t>
  </si>
  <si>
    <t xml:space="preserve">  Q1
(Apr 14 - Jun 14)</t>
  </si>
  <si>
    <t xml:space="preserve">  Q2
(Jul 14 - Sep 14)</t>
  </si>
  <si>
    <t xml:space="preserve">  Q3
(Oct 14 - Dec 14)</t>
  </si>
  <si>
    <t xml:space="preserve">  Q4
(Jan 15 - Mar 15)</t>
  </si>
  <si>
    <t xml:space="preserve">  Q1
(Apr 15 - Jun 15)</t>
  </si>
  <si>
    <t xml:space="preserve">  Q2
(Jul 15 - Sep 15)</t>
  </si>
  <si>
    <t xml:space="preserve">  Q3
(Oct 15 - Dec 15)</t>
  </si>
  <si>
    <t xml:space="preserve">  Q4
(Jan 16 - Mar 16)</t>
  </si>
  <si>
    <t>Avoidable emergency admissions</t>
  </si>
  <si>
    <t>Local Metric</t>
  </si>
  <si>
    <t xml:space="preserve">Baseline
</t>
  </si>
  <si>
    <t>Delayed transfer days</t>
  </si>
  <si>
    <t>Numerator data</t>
  </si>
  <si>
    <t>Denominator data</t>
  </si>
  <si>
    <t>Rate data*</t>
  </si>
  <si>
    <t>Denominator data**</t>
  </si>
  <si>
    <t>Proportion*</t>
  </si>
  <si>
    <t>Denominators</t>
  </si>
  <si>
    <t>Historic</t>
  </si>
  <si>
    <t>Baseline</t>
  </si>
  <si>
    <t>Oct 2015 payment</t>
  </si>
  <si>
    <t>Baselining</t>
  </si>
  <si>
    <t>Forecasting (based on 44 months)</t>
  </si>
  <si>
    <t>Apr 2015 payment</t>
  </si>
  <si>
    <t>Forecasting (based on 58 months)</t>
  </si>
  <si>
    <t>AT code</t>
  </si>
  <si>
    <t>AT</t>
  </si>
  <si>
    <t>HWB Code</t>
  </si>
  <si>
    <t>HWB Name</t>
  </si>
  <si>
    <t xml:space="preserve"> Permanent admissions to residential and nursing care, aged 65+, 2011-12</t>
  </si>
  <si>
    <t xml:space="preserve"> Permanent admissions to residential and nursing care, aged 65+, 2012-13</t>
  </si>
  <si>
    <t>ONS, 2011 mid-year population estimate (65+)</t>
  </si>
  <si>
    <t>ONS, 2012 mid-year population estimate (65+)</t>
  </si>
  <si>
    <t>2014 ONS population projection (65+)</t>
  </si>
  <si>
    <t>2015 ONS projection (65+)</t>
  </si>
  <si>
    <t>2011-12  admission rate per 100,000 (65+)</t>
  </si>
  <si>
    <t>2012-13 admission rate per 100,000 (65+)</t>
  </si>
  <si>
    <t>14-15 planned figure from assurance template</t>
  </si>
  <si>
    <t>People discharged in to (and still in after 91 days) reablement/ rehabillitation services (65+), 2011-12</t>
  </si>
  <si>
    <t>People discharged in to (and still in after 91 days) reablement/ rehabillitation services (65+), 2012-13</t>
  </si>
  <si>
    <t>People discharged in to reablement/ rehabillitation services (65+), 2011-12</t>
  </si>
  <si>
    <t>People discharged in to reablement/ rehabillitation services (65+), 2012-13</t>
  </si>
  <si>
    <t>Effectiveness of reablement/ rehabiliation services, 2011-12 (%)</t>
  </si>
  <si>
    <t>Effectiveness of reablement/ rehabiliation services 2012-13 (%)</t>
  </si>
  <si>
    <t>14-15 planned num from assurance template</t>
  </si>
  <si>
    <t>14-15 planned denom from assurance template</t>
  </si>
  <si>
    <t>Q1 13-14</t>
  </si>
  <si>
    <t>Q2 13-14</t>
  </si>
  <si>
    <t>Q3 13-14</t>
  </si>
  <si>
    <t>Q4 13-14</t>
  </si>
  <si>
    <t>Q1 14-15</t>
  </si>
  <si>
    <t>Q2 14-15</t>
  </si>
  <si>
    <t>Q3 14-15</t>
  </si>
  <si>
    <t>Q4 14-15</t>
  </si>
  <si>
    <t>Q1 15-16</t>
  </si>
  <si>
    <t>Q2 15-16</t>
  </si>
  <si>
    <t>Q3 15-16</t>
  </si>
  <si>
    <t>Q4 15-16</t>
  </si>
  <si>
    <t>2012 Mid-year pop estimate (18+)</t>
  </si>
  <si>
    <t>2014 ONS pop projection (18+)</t>
  </si>
  <si>
    <t>2015 ONS pop projection (18+)</t>
  </si>
  <si>
    <t>13-14 Q1</t>
  </si>
  <si>
    <t>13-14 Q2</t>
  </si>
  <si>
    <t>13-14 Q3</t>
  </si>
  <si>
    <t>14-15 Q1</t>
  </si>
  <si>
    <t>14-15 Q2</t>
  </si>
  <si>
    <t>14-15 Q3</t>
  </si>
  <si>
    <t>14-15 Q4</t>
  </si>
  <si>
    <t>15-16 Q1</t>
  </si>
  <si>
    <t>15-16 Q2</t>
  </si>
  <si>
    <t>15-16 Q3</t>
  </si>
  <si>
    <t>15-16 Q4</t>
  </si>
  <si>
    <t>2011 Mid-year pop estimate (all ages)</t>
  </si>
  <si>
    <t>2012 Mid-year pop estimate (all ages)</t>
  </si>
  <si>
    <t>2014 ONS pop projection (all ages)</t>
  </si>
  <si>
    <t>2015 ONS pop projection (all ages)</t>
  </si>
  <si>
    <t>Q61</t>
  </si>
  <si>
    <t xml:space="preserve">North East London </t>
  </si>
  <si>
    <t>Q51</t>
  </si>
  <si>
    <t xml:space="preserve">South Yorkshire And Bassetlaw </t>
  </si>
  <si>
    <t>Q64</t>
  </si>
  <si>
    <t xml:space="preserve">Bath, Gloucestershire, Swindon And Wiltshire </t>
  </si>
  <si>
    <t>Q58</t>
  </si>
  <si>
    <t xml:space="preserve">Hertfordshire And The South Midlands </t>
  </si>
  <si>
    <t>Q63</t>
  </si>
  <si>
    <t xml:space="preserve">South London </t>
  </si>
  <si>
    <t>Q54</t>
  </si>
  <si>
    <t xml:space="preserve">Birmingham And The Black Country </t>
  </si>
  <si>
    <t>Q47</t>
  </si>
  <si>
    <t xml:space="preserve">Lancashire </t>
  </si>
  <si>
    <t>Q46</t>
  </si>
  <si>
    <t xml:space="preserve">Greater Manchester </t>
  </si>
  <si>
    <t>Q70</t>
  </si>
  <si>
    <t xml:space="preserve">Wessex </t>
  </si>
  <si>
    <t>E06000028 &amp; E06000029</t>
  </si>
  <si>
    <t>Q69</t>
  </si>
  <si>
    <t xml:space="preserve">Thames Valley </t>
  </si>
  <si>
    <t>Q52</t>
  </si>
  <si>
    <t xml:space="preserve">West Yorkshire </t>
  </si>
  <si>
    <t>Q62</t>
  </si>
  <si>
    <t xml:space="preserve">North West London </t>
  </si>
  <si>
    <t>Q68</t>
  </si>
  <si>
    <t xml:space="preserve">Surrey And Sussex </t>
  </si>
  <si>
    <t>Q65</t>
  </si>
  <si>
    <t xml:space="preserve">Bristol, North Somerset, Somerset And South Gloucestershire </t>
  </si>
  <si>
    <t>Q56</t>
  </si>
  <si>
    <t xml:space="preserve">East Anglia </t>
  </si>
  <si>
    <t>N/A</t>
  </si>
  <si>
    <t>Q44</t>
  </si>
  <si>
    <t xml:space="preserve">Cheshire, Warrington And Wirral </t>
  </si>
  <si>
    <t>Q66</t>
  </si>
  <si>
    <t xml:space="preserve">Devon, Cornwall And Isles Of Scilly </t>
  </si>
  <si>
    <t>Q45</t>
  </si>
  <si>
    <t xml:space="preserve">Durham, Darlington And Tees </t>
  </si>
  <si>
    <t>Q53</t>
  </si>
  <si>
    <t xml:space="preserve">Arden, Herefordshire And Worcestershire </t>
  </si>
  <si>
    <t>Q49</t>
  </si>
  <si>
    <t xml:space="preserve">Cumbria, Northumberland, Tyne And Wear </t>
  </si>
  <si>
    <t>Q55</t>
  </si>
  <si>
    <t xml:space="preserve">Derbyshire And Nottinghamshire </t>
  </si>
  <si>
    <t>Q50</t>
  </si>
  <si>
    <t xml:space="preserve">North Yorkshire And Humber </t>
  </si>
  <si>
    <t>TBD (June 14)</t>
  </si>
  <si>
    <t>Q57</t>
  </si>
  <si>
    <t xml:space="preserve">Essex </t>
  </si>
  <si>
    <t>Q48</t>
  </si>
  <si>
    <t xml:space="preserve">Merseyside </t>
  </si>
  <si>
    <t>Q67</t>
  </si>
  <si>
    <t xml:space="preserve">Kent And Medway </t>
  </si>
  <si>
    <t>Q59</t>
  </si>
  <si>
    <t xml:space="preserve">Leicestershire And Lincolnshire </t>
  </si>
  <si>
    <t>Q60</t>
  </si>
  <si>
    <t xml:space="preserve">Shropshire And Staffordshire </t>
  </si>
  <si>
    <t>-</t>
  </si>
  <si>
    <t>England</t>
  </si>
  <si>
    <t>Bournemouth</t>
  </si>
  <si>
    <t>E0600002</t>
  </si>
  <si>
    <t>Poole</t>
  </si>
  <si>
    <t>Please complete white cells</t>
  </si>
  <si>
    <t>Please complete white cells (for as many rows as required):</t>
  </si>
  <si>
    <t>12-13 Q4</t>
  </si>
  <si>
    <t>Annual saving</t>
  </si>
  <si>
    <t>Planned improvement on baseline</t>
  </si>
  <si>
    <t>Estimated savings</t>
  </si>
  <si>
    <t>Planned deterioration on baseline (or validity issue)</t>
  </si>
  <si>
    <t>Rationale for red rating</t>
  </si>
  <si>
    <t>Rationale for red ratings</t>
  </si>
  <si>
    <t>Figures in £000</t>
  </si>
  <si>
    <t>Health and Wellbeing Funding Sources</t>
  </si>
  <si>
    <t>Organisation to Benefit</t>
  </si>
  <si>
    <t>Benefit achieved from</t>
  </si>
  <si>
    <t>Reduction in permanent residential admissions</t>
  </si>
  <si>
    <t>Increased effectiveness of reablement</t>
  </si>
  <si>
    <t>Reduction in delayed transfers of care</t>
  </si>
  <si>
    <t>Change in activity measure</t>
  </si>
  <si>
    <t>How was the saving value calculated?</t>
  </si>
  <si>
    <t>How will the savings against plan be monitored?</t>
  </si>
  <si>
    <t>NHS CCG</t>
  </si>
  <si>
    <t>NHS Provider</t>
  </si>
  <si>
    <t>Unit Price (£)</t>
  </si>
  <si>
    <t>NHS Acute Provider</t>
  </si>
  <si>
    <t>NHS Mental Health Provider</t>
  </si>
  <si>
    <t>Health and Wellbeing Board Financial Benefits Plan</t>
  </si>
  <si>
    <t>Total (Saving) (£)</t>
  </si>
  <si>
    <t>Summary of Benefits</t>
  </si>
  <si>
    <t>From 4. HWB Benefits</t>
  </si>
  <si>
    <t>Health and Wellbeing Board Expenditure Plan</t>
  </si>
  <si>
    <t>Reduction in non-elective (general + acute only)</t>
  </si>
  <si>
    <t>2011-12</t>
  </si>
  <si>
    <t>2012-13</t>
  </si>
  <si>
    <t>2013-14</t>
  </si>
  <si>
    <t>2014-15</t>
  </si>
  <si>
    <t>2015-16</t>
  </si>
  <si>
    <t>Delayed transfers</t>
  </si>
  <si>
    <t>Linear projection* (set so cannot fall below zero)</t>
  </si>
  <si>
    <t>Projected rates*</t>
  </si>
  <si>
    <t xml:space="preserve">Q1 </t>
  </si>
  <si>
    <t xml:space="preserve">Q2 </t>
  </si>
  <si>
    <t xml:space="preserve">Q3 </t>
  </si>
  <si>
    <t xml:space="preserve">Q4 </t>
  </si>
  <si>
    <t>* The projected rates are based on annual population projections and therefore will not change linearly</t>
  </si>
  <si>
    <t>HWB</t>
  </si>
  <si>
    <t>Res baseline num</t>
  </si>
  <si>
    <t>Res baseline denom</t>
  </si>
  <si>
    <t>Res Baseline rate</t>
  </si>
  <si>
    <t>Res 14/15 num</t>
  </si>
  <si>
    <t>Res 14/15 denom</t>
  </si>
  <si>
    <t>Res 14/15 rate</t>
  </si>
  <si>
    <t>Res 15/16 num</t>
  </si>
  <si>
    <t>Res 15/16 denom</t>
  </si>
  <si>
    <t>Res 15/16 rate</t>
  </si>
  <si>
    <t>Rationale for reds</t>
  </si>
  <si>
    <t xml:space="preserve">Res 14/15 Annual change </t>
  </si>
  <si>
    <t>Res 14/15 Annual change %</t>
  </si>
  <si>
    <t>Res 14/15 Estimated savings</t>
  </si>
  <si>
    <t xml:space="preserve">Res 15/16 Annual change </t>
  </si>
  <si>
    <t>Res 15/16 Annual change %</t>
  </si>
  <si>
    <t>Res 15/16 Estimated savings</t>
  </si>
  <si>
    <t>Res cost</t>
  </si>
  <si>
    <t>Res 14/15 project num</t>
  </si>
  <si>
    <t>Res 14/15 project denom</t>
  </si>
  <si>
    <t>Res 14/15 project rate</t>
  </si>
  <si>
    <t>Res 15/16 project num</t>
  </si>
  <si>
    <t>Res 15/16 project denom</t>
  </si>
  <si>
    <t>Res 15/16 project rate</t>
  </si>
  <si>
    <t>Reable baseline num</t>
  </si>
  <si>
    <t>Reable baseline denom</t>
  </si>
  <si>
    <t>Reable Baseline rate</t>
  </si>
  <si>
    <t>Reable 14/15 num</t>
  </si>
  <si>
    <t>Reable 14/15 denom</t>
  </si>
  <si>
    <t>Reable 14/15 rate</t>
  </si>
  <si>
    <t>Reable 15/16 num</t>
  </si>
  <si>
    <t>Reable 15/16 denom</t>
  </si>
  <si>
    <t>Reable 15/16 rate</t>
  </si>
  <si>
    <t>Reable Rationale for red plans</t>
  </si>
  <si>
    <t>Reable rationale for decrease in offered</t>
  </si>
  <si>
    <t xml:space="preserve">Reable 14/15 Annual change </t>
  </si>
  <si>
    <t>Reable 14/15 Annual change %</t>
  </si>
  <si>
    <t>Reable 14/15 Estimated savings</t>
  </si>
  <si>
    <t xml:space="preserve">Reable 15/16 Annual change </t>
  </si>
  <si>
    <t>Reable 15/16 Annual change %</t>
  </si>
  <si>
    <t>Reable 15/16 Estimated savings</t>
  </si>
  <si>
    <t>Reable cost</t>
  </si>
  <si>
    <t>Reable project 14/15 num</t>
  </si>
  <si>
    <t>Reable project 14/15 denom</t>
  </si>
  <si>
    <t>Reable project 14/15 rate</t>
  </si>
  <si>
    <t>Reable project 15/16 num</t>
  </si>
  <si>
    <t>Reable project 15/16 denom</t>
  </si>
  <si>
    <t>Reable project 15/16 rate</t>
  </si>
  <si>
    <t>D Q1 baseline num</t>
  </si>
  <si>
    <t>D Q1 baseline denom</t>
  </si>
  <si>
    <t>D Q1 baseline rate</t>
  </si>
  <si>
    <t>D Q2 baseline num</t>
  </si>
  <si>
    <t>D Q2 baseline denom</t>
  </si>
  <si>
    <t>D Q2 baseline rate</t>
  </si>
  <si>
    <t>D Q3 baseline num</t>
  </si>
  <si>
    <t>D Q3 baseline denom</t>
  </si>
  <si>
    <t>D Q3 baseline rate</t>
  </si>
  <si>
    <t>D Q4 baseline num</t>
  </si>
  <si>
    <t>D Q4 baseline denom</t>
  </si>
  <si>
    <t>D Q4 baseline rate</t>
  </si>
  <si>
    <t>D Q1 14/15 num</t>
  </si>
  <si>
    <t>D Q1 14/15 denom</t>
  </si>
  <si>
    <t>D Q1 14/15 rate</t>
  </si>
  <si>
    <t>D Q2 14/15 num</t>
  </si>
  <si>
    <t>D Q2 14/15 denom</t>
  </si>
  <si>
    <t>D Q2 14/15 rate</t>
  </si>
  <si>
    <t>D Q3 14/15 denom</t>
  </si>
  <si>
    <t>D Q3 14/15 rate</t>
  </si>
  <si>
    <t>D Q4 14/15 num</t>
  </si>
  <si>
    <t>D Q4 14/15 denom</t>
  </si>
  <si>
    <t>D Q4 14/15 rate</t>
  </si>
  <si>
    <t>D Q1 15/16 num</t>
  </si>
  <si>
    <t>D Q1 15/16 denom</t>
  </si>
  <si>
    <t>D Q1 15/16 rate</t>
  </si>
  <si>
    <t>D Q2 15/16 num</t>
  </si>
  <si>
    <t>D Q2 15/16 denom</t>
  </si>
  <si>
    <t>D Q2 15/16 rate</t>
  </si>
  <si>
    <t>D Q3 15/16 num</t>
  </si>
  <si>
    <t>D Q3 15/16 denom</t>
  </si>
  <si>
    <t>D Q3 15/16 rate</t>
  </si>
  <si>
    <t>D Q4 15/16 num</t>
  </si>
  <si>
    <t>D Q4 15/16 denom</t>
  </si>
  <si>
    <t>D Q4 15/16 rate</t>
  </si>
  <si>
    <t>D rationale for red</t>
  </si>
  <si>
    <t xml:space="preserve">D 14/15 Annual change </t>
  </si>
  <si>
    <t>D 14/15 Annual change %</t>
  </si>
  <si>
    <t>D 14/15 Estimated savings</t>
  </si>
  <si>
    <t xml:space="preserve">D 15/16 Annual change </t>
  </si>
  <si>
    <t>D 15/16 Annual change %</t>
  </si>
  <si>
    <t>D 15/16 Estimated savings</t>
  </si>
  <si>
    <t>D cost</t>
  </si>
  <si>
    <t>D project 14/15 Q1 num</t>
  </si>
  <si>
    <t>D project 14/15 Q1 denom</t>
  </si>
  <si>
    <t>D project 14/15 Q1 rate</t>
  </si>
  <si>
    <t>D project 14/15 Q2 num</t>
  </si>
  <si>
    <t>D project 14/15 Q2 denom</t>
  </si>
  <si>
    <t>D project 14/15 Q2 rate</t>
  </si>
  <si>
    <t>D project 14/15 Q3 num</t>
  </si>
  <si>
    <t>D project 14/15 Q3 denom</t>
  </si>
  <si>
    <t>D project 14/15 Q3 rate</t>
  </si>
  <si>
    <t>D project 14/15 Q4 num</t>
  </si>
  <si>
    <t>D project 14/15 Q4 denom</t>
  </si>
  <si>
    <t>D project 14/15 Q4 rate</t>
  </si>
  <si>
    <t>D project 15/16 Q1 num</t>
  </si>
  <si>
    <t>D project 15/16 Q1 denom</t>
  </si>
  <si>
    <t>D project 15/16 Q1 rate</t>
  </si>
  <si>
    <t>D project 15/16 Q2 num</t>
  </si>
  <si>
    <t>D project 15/16 Q2 denom</t>
  </si>
  <si>
    <t>D project 15/16 Q2 rate</t>
  </si>
  <si>
    <t>D project 15/16 Q3 num</t>
  </si>
  <si>
    <t>D project 15/16 Q3 denom</t>
  </si>
  <si>
    <t>D project 15/16 Q3 rate</t>
  </si>
  <si>
    <t>D project 15/16 Q4 num</t>
  </si>
  <si>
    <t>D project 15/16 Q4 denom</t>
  </si>
  <si>
    <t>D project 15/16 Q4 rate</t>
  </si>
  <si>
    <t>Local metric</t>
  </si>
  <si>
    <t>Local baseline time period</t>
  </si>
  <si>
    <t>Local baseline num</t>
  </si>
  <si>
    <t>Local baseline denom</t>
  </si>
  <si>
    <t>Local baseline rate</t>
  </si>
  <si>
    <t>Local Apr payment num</t>
  </si>
  <si>
    <t>Local Apr payment denom</t>
  </si>
  <si>
    <t>Local Apr payment rate</t>
  </si>
  <si>
    <t>Local Oct payment num</t>
  </si>
  <si>
    <t>Local Oct payment denom</t>
  </si>
  <si>
    <t>Local Oct payment rate</t>
  </si>
  <si>
    <t>Pat ex metric</t>
  </si>
  <si>
    <t>Pat ex baseline time period</t>
  </si>
  <si>
    <t>Pat ex baseline num</t>
  </si>
  <si>
    <t>Pat ex baseline denom</t>
  </si>
  <si>
    <t>Pat ex baseline rate</t>
  </si>
  <si>
    <t>Pat ex Oct payment num</t>
  </si>
  <si>
    <t>Pat ex Oct payment denom</t>
  </si>
  <si>
    <t>Pat ex Oct payment rate</t>
  </si>
  <si>
    <t>Red</t>
  </si>
  <si>
    <t>Amber</t>
  </si>
  <si>
    <t>Green</t>
  </si>
  <si>
    <r>
      <t>Average annual cost of permanent admission to residential care</t>
    </r>
    <r>
      <rPr>
        <vertAlign val="superscript"/>
        <sz val="11"/>
        <color theme="1"/>
        <rFont val="Arial"/>
        <family val="2"/>
      </rPr>
      <t>1</t>
    </r>
  </si>
  <si>
    <r>
      <t>Average cost of delayed transfer day</t>
    </r>
    <r>
      <rPr>
        <vertAlign val="superscript"/>
        <sz val="11"/>
        <color theme="1"/>
        <rFont val="Arial"/>
        <family val="2"/>
      </rPr>
      <t>3</t>
    </r>
  </si>
  <si>
    <t xml:space="preserve">3.  Based on 12-13 Reference Costs:  average cost of an excess bed day. https://www.gov.uk/government/uploads/system/uploads/attachment_data/file/261154/nhs_reference_costs_2012-13_acc.pdf </t>
  </si>
  <si>
    <t>References/notes</t>
  </si>
  <si>
    <t xml:space="preserve">Delayed transfers of care (delayed days) from hospital </t>
  </si>
  <si>
    <t>Summary of Health and Wellbeing Board Schemes</t>
  </si>
  <si>
    <t>Area of spend to benefit</t>
  </si>
  <si>
    <t>NHS Commissioner</t>
  </si>
  <si>
    <t>Please select Health and Wellbeing Board:</t>
  </si>
  <si>
    <t>Signed on behalf of the Council:</t>
  </si>
  <si>
    <t>NB. The admission figures for Bromley, Bexley and Greenwich are low for the period Apr-13 to Sep-13 and this should be taken in to account when setting plans.  The HES monthly data quality note published by the HSCIC (http://www.hscic.gov.uk/searchcatalogue?productid=14625&amp;q=title%3a%22Provisional+Monthly+Hospital+Episode+Statistics%22&amp;sort=Relevance&amp;size=10&amp;page=1#top ) confirms that data has been stripped out of the provisional monthly HES data following the closure of a Trust that covers these areas.</t>
  </si>
  <si>
    <t>1.  Based on "Personal Social Services: Expenditure and Unit Costs, England
2012-13" (HSCIC) http://www.hscic.gov.uk/catalogue/PUB13085/pss-exp-eng-12-13-fin-rpt.pdf</t>
  </si>
  <si>
    <t>Red triangles indicate comments</t>
  </si>
  <si>
    <t>Description</t>
  </si>
  <si>
    <t>Blank1</t>
  </si>
  <si>
    <t>Name</t>
  </si>
  <si>
    <t>Blank2</t>
  </si>
  <si>
    <t>Blank3</t>
  </si>
  <si>
    <t>Blank4</t>
  </si>
  <si>
    <t>Blank5</t>
  </si>
  <si>
    <t>Blank6</t>
  </si>
  <si>
    <t>subcode</t>
  </si>
  <si>
    <t>Headings</t>
  </si>
  <si>
    <t>Subcode</t>
  </si>
  <si>
    <t>T01</t>
  </si>
  <si>
    <t>TT1</t>
  </si>
  <si>
    <t>T02</t>
  </si>
  <si>
    <t>TT2</t>
  </si>
  <si>
    <t>B01</t>
  </si>
  <si>
    <t>TT3</t>
  </si>
  <si>
    <t>driver column</t>
  </si>
  <si>
    <r>
      <t xml:space="preserve">2015/16
</t>
    </r>
    <r>
      <rPr>
        <sz val="11"/>
        <color theme="0" tint="-0.14999847407452621"/>
        <rFont val="Arial"/>
        <family val="2"/>
      </rPr>
      <t>from 5</t>
    </r>
  </si>
  <si>
    <t>ROCR approval applied for</t>
  </si>
  <si>
    <t>&lt;Print Name&gt;</t>
  </si>
  <si>
    <t>&lt;Organisation&gt;</t>
  </si>
  <si>
    <t>&lt;Date&gt;</t>
  </si>
  <si>
    <t>&lt;Position&gt;</t>
  </si>
  <si>
    <t>Signed on behalf of the CCG(s):</t>
  </si>
  <si>
    <t>Annual rate</t>
  </si>
  <si>
    <t>Annual %</t>
  </si>
  <si>
    <t>Delayed transfers of care (delayed days) from hospital per 100,000 population (aged 18+).</t>
  </si>
  <si>
    <t>S01</t>
  </si>
  <si>
    <t>S02</t>
  </si>
  <si>
    <t>S03</t>
  </si>
  <si>
    <t>S04</t>
  </si>
  <si>
    <t>S05</t>
  </si>
  <si>
    <t>S06</t>
  </si>
  <si>
    <t>B02</t>
  </si>
  <si>
    <t>B03</t>
  </si>
  <si>
    <t>B04</t>
  </si>
  <si>
    <t>B05</t>
  </si>
  <si>
    <t>2.  There is no robust national source for the average annual saving due to being at home 91 days after discharge from hospital in to reablement / rehabilitation services. Therefore HWBs should provide the estimate that underpins their planned financial savings, which it is assumed will include the impact of reduction admissions to hospital and to residential care</t>
  </si>
  <si>
    <r>
      <t>Average annual saving due to being at home 91 days from discharge</t>
    </r>
    <r>
      <rPr>
        <vertAlign val="superscript"/>
        <sz val="11"/>
        <color theme="1"/>
        <rFont val="Arial"/>
        <family val="2"/>
      </rPr>
      <t>2</t>
    </r>
  </si>
  <si>
    <t xml:space="preserve">CCG Non-elective acute activity </t>
  </si>
  <si>
    <t xml:space="preserve"> </t>
  </si>
  <si>
    <t>CCG Planned Activity (Non-elective admissions*)</t>
  </si>
  <si>
    <t>NHS Region</t>
  </si>
  <si>
    <t>Area Team</t>
  </si>
  <si>
    <t>CCG code</t>
  </si>
  <si>
    <t>CCG name</t>
  </si>
  <si>
    <t>London</t>
  </si>
  <si>
    <t>Q71</t>
  </si>
  <si>
    <t>NHS Barking and Dagenham CCG</t>
  </si>
  <si>
    <t>NHS Enfield CCG</t>
  </si>
  <si>
    <t>Midlands &amp; East</t>
  </si>
  <si>
    <t>Arden, Herefordshire And Worcestershire Area Team</t>
  </si>
  <si>
    <t>Birmingham And The Black Country Area Team</t>
  </si>
  <si>
    <t>13P</t>
  </si>
  <si>
    <t>NHS Birmingham Crosscity CCG</t>
  </si>
  <si>
    <t>Derbyshire And Nottinghamshire Area Team</t>
  </si>
  <si>
    <t>NHS Mansfield and Ashfield CCG</t>
  </si>
  <si>
    <t>NHS Nottingham North and East CCG</t>
  </si>
  <si>
    <t>East Anglia Area Team</t>
  </si>
  <si>
    <t>NHS Great Yarmouth and Waveney CCG</t>
  </si>
  <si>
    <t>Essex Area Team</t>
  </si>
  <si>
    <t>NHS Castle Point and Rochford CCG</t>
  </si>
  <si>
    <t>Hertfordshire And The South Midlands Area Team</t>
  </si>
  <si>
    <t>Leicestershire And Lincolnshire Area Team</t>
  </si>
  <si>
    <t>NHS South West Lincolnshire CCG</t>
  </si>
  <si>
    <t>Shropshire And Staffordshire Area Team</t>
  </si>
  <si>
    <t>NHS South East Staffs and Seisdon Peninsular CCG</t>
  </si>
  <si>
    <t>NHS Telford and Wrekin CCG</t>
  </si>
  <si>
    <t>North</t>
  </si>
  <si>
    <t>Cheshire, Warrington And Wirral Area Team</t>
  </si>
  <si>
    <t>Durham, Darlington And Tees Area Team</t>
  </si>
  <si>
    <t>NHS Hartlepool and Stockton-On-Tees CCG</t>
  </si>
  <si>
    <t>Greater Manchester Area Team</t>
  </si>
  <si>
    <t>NHS Heywood, Middleton and Rochdale CCG</t>
  </si>
  <si>
    <t>Lancashire Area Team</t>
  </si>
  <si>
    <t>NHS East Lancashire CCG</t>
  </si>
  <si>
    <t>Merseyside Area Team</t>
  </si>
  <si>
    <t>Cumbria, Northumberland, Tyne And Wear Area Team</t>
  </si>
  <si>
    <t>North Yorkshire And Humber Area Team</t>
  </si>
  <si>
    <t>South Yorkshire And Bassetlaw Area Team</t>
  </si>
  <si>
    <t>West Yorkshire Area Team</t>
  </si>
  <si>
    <t>NHS Airedale, Wharfdale and Craven CCG</t>
  </si>
  <si>
    <t>NHS Wakefield CCG</t>
  </si>
  <si>
    <t>South</t>
  </si>
  <si>
    <t>Bath, Gloucestershire, Swindon And Wiltshire Area Team</t>
  </si>
  <si>
    <t>Bristol, North Somerset, Somerset And South Gloucestershire Area Team</t>
  </si>
  <si>
    <t>Devon, Cornwall And Isles Of Scilly Area Team</t>
  </si>
  <si>
    <t>Kent And Medway Area Team</t>
  </si>
  <si>
    <t>Surrey And Sussex Area Team</t>
  </si>
  <si>
    <t>NHS Brighton and Hove CCG</t>
  </si>
  <si>
    <t>NHS Hastings and Rother CCG</t>
  </si>
  <si>
    <t>Thames Valley Area Team</t>
  </si>
  <si>
    <t>Wessex Area Team</t>
  </si>
  <si>
    <t>* NHS England: Monthly Activity Return (Unify2@dh.gsi.gov.uk)</t>
  </si>
  <si>
    <t>Mapping of CCGs to Health and Wellbeing Boards</t>
  </si>
  <si>
    <t>Can be amended*:</t>
  </si>
  <si>
    <t>Upper LA code</t>
  </si>
  <si>
    <t>HWB name</t>
  </si>
  <si>
    <t>HWB activity mapped from CCG activity</t>
  </si>
  <si>
    <t>HWB Planned Activity (Non-elective admissions*)</t>
  </si>
  <si>
    <t>2013 ONS pop estimate (18+)</t>
  </si>
  <si>
    <t>2013 ONS pop estimate (all ages)</t>
  </si>
  <si>
    <t>2016 ONS pop projection (18+)</t>
  </si>
  <si>
    <t>2016 ONS pop projection (all ages)</t>
  </si>
  <si>
    <t xml:space="preserve">Population projections are based on Subnational Population Projections, Interim 2012-based (published May 2014)
</t>
  </si>
  <si>
    <t>ONS 2013 mid-year population estimate (65+)</t>
  </si>
  <si>
    <t xml:space="preserve"> Permanent admissions to residential and nursing care, aged 65+, 2013-14</t>
  </si>
  <si>
    <t>People discharged in to (and still in after 91 days) reablement/ rehabillitation services (65+), 2013-14</t>
  </si>
  <si>
    <t>People discharged in to reablement/ rehabillitation services (65+), 2013-14</t>
  </si>
  <si>
    <t>Effectiveness of reablement/ rehabiliation services 2013-14 (%)</t>
  </si>
  <si>
    <t>2013-14 admission rate per 100,000 (65+)</t>
  </si>
  <si>
    <t>Baseline
(2013/14)</t>
  </si>
  <si>
    <t>Total non-elective admissions (general &amp; acute), all-age</t>
  </si>
  <si>
    <t>Projected rates</t>
  </si>
  <si>
    <t>Projection</t>
  </si>
  <si>
    <t>13-14 Q4</t>
  </si>
  <si>
    <t>Q1</t>
  </si>
  <si>
    <t>Q2</t>
  </si>
  <si>
    <t>Q3</t>
  </si>
  <si>
    <t>Q4</t>
  </si>
  <si>
    <t>2013-14 baseline</t>
  </si>
  <si>
    <t>historic</t>
  </si>
  <si>
    <t>References</t>
  </si>
  <si>
    <t>Blue indicates updates for July collection</t>
  </si>
  <si>
    <t>This is based on a simple projection of the metric proportion, and an unchanging denominator (number of people offered reablement)</t>
  </si>
  <si>
    <t>This is based on a simple projection of the metric proportion.</t>
  </si>
  <si>
    <t>Historic and projected annual rate</t>
  </si>
  <si>
    <t>No. of admissions - historic and projected</t>
  </si>
  <si>
    <t>Historic and projected annual %</t>
  </si>
  <si>
    <t>Historic and projected delayed transfers</t>
  </si>
  <si>
    <t>Planned improvement on baseline of less than 3.5%</t>
  </si>
  <si>
    <t>Planned improvement on baseline of 3.5% or more</t>
  </si>
  <si>
    <t>2015/16 Q1</t>
  </si>
  <si>
    <t>2015/16 Q2</t>
  </si>
  <si>
    <t>2015/16 Q3</t>
  </si>
  <si>
    <t>2015/16 Q4</t>
  </si>
  <si>
    <t xml:space="preserve">Total non-elective admissions in to hospital (general &amp; acute), all-age, per 100,000 population </t>
  </si>
  <si>
    <t>Patient / Service User Experience Metric</t>
  </si>
  <si>
    <t>gu</t>
  </si>
  <si>
    <t>£m</t>
  </si>
  <si>
    <t/>
  </si>
  <si>
    <t>CCG Minimum Contribution</t>
  </si>
  <si>
    <t>Total Minimum CCG Contribution</t>
  </si>
  <si>
    <t>Additional CCG Contribution</t>
  </si>
  <si>
    <t>Total Additional CCG Contribution</t>
  </si>
  <si>
    <t>Source of Funding</t>
  </si>
  <si>
    <t>Health and Wellbeing Board Payment for Performance</t>
  </si>
  <si>
    <t>1. Reduction in non elective activity</t>
  </si>
  <si>
    <t>Figures in £</t>
  </si>
  <si>
    <t>Value of NHS Commissioned Services</t>
  </si>
  <si>
    <t>Shortfall of Contribution to NHS Commissioned Services</t>
  </si>
  <si>
    <t>Sum of £1bn</t>
  </si>
  <si>
    <t>(blank)</t>
  </si>
  <si>
    <t>Grand Total</t>
  </si>
  <si>
    <r>
      <t xml:space="preserve">2014/15 </t>
    </r>
    <r>
      <rPr>
        <sz val="11"/>
        <color theme="0" tint="-0.14999847407452621"/>
        <rFont val="Arial"/>
        <family val="2"/>
      </rPr>
      <t>vs outturn</t>
    </r>
    <r>
      <rPr>
        <sz val="11"/>
        <color theme="1"/>
        <rFont val="Arial"/>
        <family val="2"/>
      </rPr>
      <t xml:space="preserve">
from 4</t>
    </r>
  </si>
  <si>
    <r>
      <t xml:space="preserve">2015/16 </t>
    </r>
    <r>
      <rPr>
        <sz val="11"/>
        <color theme="0" tint="-0.14999847407452621"/>
        <rFont val="Arial"/>
        <family val="2"/>
      </rPr>
      <t>vs outturn</t>
    </r>
    <r>
      <rPr>
        <sz val="11"/>
        <color theme="1"/>
        <rFont val="Arial"/>
        <family val="2"/>
      </rPr>
      <t xml:space="preserve">
from 4</t>
    </r>
  </si>
  <si>
    <t>Split of £3.46bn</t>
  </si>
  <si>
    <t>£1.1bn</t>
  </si>
  <si>
    <t>CCG Share of £1.1bn Contribution to Social Care</t>
  </si>
  <si>
    <t>CCG Share of £2.4m Minimum Contribution</t>
  </si>
  <si>
    <t>Total Minimum CCG Share of £1.1bn Contribution to Social Care</t>
  </si>
  <si>
    <t>Total CCG Share of Minimum £2.4bn Contribution</t>
  </si>
  <si>
    <t>Please specify if Other</t>
  </si>
  <si>
    <t>NHS Fylde and Wyre CCG</t>
  </si>
  <si>
    <t>NHS Newark and Sherwood CCG</t>
  </si>
  <si>
    <t>NHS North and West Reading CCG</t>
  </si>
  <si>
    <t>NHS Stoke-on-Trent CCG</t>
  </si>
  <si>
    <t>2. Calculation of Performance and NHS Commissioned Ringfenced Funds</t>
  </si>
  <si>
    <t>Financial Value of Non Elective Saving/ Performance Fund</t>
  </si>
  <si>
    <t>Combined total of Performance and Ringfenced Funds</t>
  </si>
  <si>
    <t>Ringfenced Fund</t>
  </si>
  <si>
    <t>Contributing CCGs</t>
  </si>
  <si>
    <t>% CCG in LA</t>
  </si>
  <si>
    <t>% LA in CCG</t>
  </si>
  <si>
    <t>CCG Name</t>
  </si>
  <si>
    <t>LA Name</t>
  </si>
  <si>
    <t>There is no need to enter any data on this sheet. All values will be populated from entries elsewhere in the template</t>
  </si>
  <si>
    <t>Gross Contribution (£000)</t>
  </si>
  <si>
    <t>2015/16 Quarterly Breakdown of P4P</t>
  </si>
  <si>
    <t>Financial Value of Non Elective Saving/ Performance Fund (£)</t>
  </si>
  <si>
    <t>Cumulative Quarterly Baseline of Non Elective Activity</t>
  </si>
  <si>
    <t>Quarterly rate</t>
  </si>
  <si>
    <t>Planned 14/15 
(if available)</t>
  </si>
  <si>
    <t>Increase</t>
  </si>
  <si>
    <t>Decrease</t>
  </si>
  <si>
    <t>Improvement indicated by:</t>
  </si>
  <si>
    <t>The figures above are mapped from the following CCG operational plans. If any CCG plans are updated then the white cells can be revised:</t>
  </si>
  <si>
    <t>Rationale for red/amber ratings</t>
  </si>
  <si>
    <r>
      <t xml:space="preserve">To support finalisation of plans, we have provided </t>
    </r>
    <r>
      <rPr>
        <i/>
        <sz val="11"/>
        <color rgb="FF000000"/>
        <rFont val="Arial"/>
        <family val="2"/>
      </rPr>
      <t>estimates</t>
    </r>
    <r>
      <rPr>
        <sz val="11"/>
        <color rgb="FF000000"/>
        <rFont val="Arial"/>
        <family val="2"/>
      </rPr>
      <t xml:space="preserve"> of future performance, based on a simple ‘straight line’ projection of historic data for each metric.  We recognise that these are crude methodologies, but it may be useful to consider when setting your plans for each of the national metrics in 2014/15 and 2015/16. As part of the assurance process centrally we will be looking at plans compared to the counterfactual (what the performance might have been if there was no BCF). </t>
    </r>
  </si>
  <si>
    <t>Q1
(Apr 14 - Jun 14)</t>
  </si>
  <si>
    <t>Q2
(Jul 14 - Sep 14)</t>
  </si>
  <si>
    <t>Q3
(Oct 14 - Dec 14)</t>
  </si>
  <si>
    <t>2014 -2015</t>
  </si>
  <si>
    <t>Contributing CCG activity</t>
  </si>
  <si>
    <t>Projected</t>
  </si>
  <si>
    <t>Pat ex Apr payment num</t>
  </si>
  <si>
    <t>Pat ex Apr payment denom</t>
  </si>
  <si>
    <t>Pat ex Apr payment rate</t>
  </si>
  <si>
    <t>Local Improvement indicated by</t>
  </si>
  <si>
    <t>Non-elective Q1 baseline num</t>
  </si>
  <si>
    <t>Non-elective Q4 baseline num</t>
  </si>
  <si>
    <t>Non-elective Q4 baseline denom</t>
  </si>
  <si>
    <t>Non-elective Q4 baseline rate</t>
  </si>
  <si>
    <t>Non-elective Q1 baseline denom</t>
  </si>
  <si>
    <t>Non-elective Q1 baseline rate</t>
  </si>
  <si>
    <t>Non-elective Q2 baseline num</t>
  </si>
  <si>
    <t>Non-elective Q2 baseline denom</t>
  </si>
  <si>
    <t>Non-elective Q2 baseline rate</t>
  </si>
  <si>
    <t>Non-elective Q3 baseline num</t>
  </si>
  <si>
    <t>Non-elective Q3 baseline denom</t>
  </si>
  <si>
    <t>Non-elective Q3 baseline rate</t>
  </si>
  <si>
    <t>Non-elective Q4 14/15 num</t>
  </si>
  <si>
    <t>Non-elective Q4 14/15 denom</t>
  </si>
  <si>
    <t>Non-elective Q4 14/15 rate</t>
  </si>
  <si>
    <t>Non-elective Q1 14/15 denom</t>
  </si>
  <si>
    <t>Non-elective Q1 14/15 rate</t>
  </si>
  <si>
    <t>Non-elective Q2 14/15 denom</t>
  </si>
  <si>
    <t>Non-elective Q2 14/15 rate</t>
  </si>
  <si>
    <t>Non-elective Q3 14/15 denom</t>
  </si>
  <si>
    <t>Non-elective Q3 14/15 rate</t>
  </si>
  <si>
    <t>Non-elective Q4 15/16 denom</t>
  </si>
  <si>
    <t>Non-elective Q1 14/15 num</t>
  </si>
  <si>
    <t>Non-elective Q3 14/15 num</t>
  </si>
  <si>
    <t>Non-elective Q4 15/16 num</t>
  </si>
  <si>
    <t>Non-elective Q4 15/16 rate</t>
  </si>
  <si>
    <t>Non-elective rationale for red</t>
  </si>
  <si>
    <t xml:space="preserve">Non-elective Annual change </t>
  </si>
  <si>
    <t>Non-elective Annual change %</t>
  </si>
  <si>
    <t>Non-elective Estimated savings</t>
  </si>
  <si>
    <t>Non-elective cost</t>
  </si>
  <si>
    <t>Non-elective project 14/15 Q4 num</t>
  </si>
  <si>
    <t>Non-elective project 14/15 Q4 denom</t>
  </si>
  <si>
    <t>Non-elective project 14/15 Q4 rate</t>
  </si>
  <si>
    <t>Non-elective project 15/16 Q1 num</t>
  </si>
  <si>
    <t>Non-elective project 15/16 Q2 num</t>
  </si>
  <si>
    <t>Non-elective project 15/16 Q3 num</t>
  </si>
  <si>
    <t>Non-elective project 15/16 Q4 num</t>
  </si>
  <si>
    <t>Non-elective project 15/16 Q1 denom</t>
  </si>
  <si>
    <t>Non-elective  project 15/16 Q1 rate</t>
  </si>
  <si>
    <t>Non-elective project 15/16 Q2 denom</t>
  </si>
  <si>
    <t>Non-elective  project 15/16 Q2 rate</t>
  </si>
  <si>
    <t>Non-elective project 15/16 Q3 denom</t>
  </si>
  <si>
    <t>Non-elective  project 15/16 Q3 rate</t>
  </si>
  <si>
    <t>Non-elective project 15/16 Q4 denom</t>
  </si>
  <si>
    <t>Non-elective  project 15/16 Q4 rate</t>
  </si>
  <si>
    <t>Non-elective contri CCG1 plan activity 13/14 Q4</t>
  </si>
  <si>
    <t>Non-elective contri CCG1 plan activity 14/15 Q1</t>
  </si>
  <si>
    <t>Non-elective contri CCG1 plan activity 14/15 Q2</t>
  </si>
  <si>
    <t>Non-elective contri CCG1 plan activity 14/15 Q3</t>
  </si>
  <si>
    <t>Non-elective contri CCG2 plan activity 13/14 Q4</t>
  </si>
  <si>
    <t>Non-elective contri CCG2 plan activity 14/15 Q1</t>
  </si>
  <si>
    <t>Non-elective contri CCG2 plan activity 14/15 Q2</t>
  </si>
  <si>
    <t>Non-elective contri CCG3 plan activity 14/15 Q3</t>
  </si>
  <si>
    <t>Non-elective contri CCG2 plan activity 14/15 Q3</t>
  </si>
  <si>
    <t>Non-elective contri CCG3 plan activity 13/14 Q4</t>
  </si>
  <si>
    <t>Non-elective contri CCG3 plan activity 14/15 Q2</t>
  </si>
  <si>
    <t>Non-elective contri CCG3 plan activity 14/15 Q1</t>
  </si>
  <si>
    <t>Non-elective contri CCG4 plan activity 13/14 Q4</t>
  </si>
  <si>
    <t>Non-elective contri CCG4 plan activity 14/15 Q1</t>
  </si>
  <si>
    <t>Non-elective contri CCG4 plan activity 14/15 Q2</t>
  </si>
  <si>
    <t>Non-elective contri CCG4 plan activity 14/15 Q3</t>
  </si>
  <si>
    <t>Non-elective contri CCG5 plan activity 13/14 Q4</t>
  </si>
  <si>
    <t>Non-elective contri CCG5 plan activity 14/15 Q1</t>
  </si>
  <si>
    <t>Non-elective contri CCG5 plan activity 14/15 Q2</t>
  </si>
  <si>
    <t>Non-elective contri CCG5 plan activity 14/15 Q3</t>
  </si>
  <si>
    <t>Non-elective contri CCG6 plan activity 13/14 Q4</t>
  </si>
  <si>
    <t>Non-elective contri CCG6 plan activity 14/15 Q1</t>
  </si>
  <si>
    <t>Non-elective contri CCG6 plan activity 14/15 Q2</t>
  </si>
  <si>
    <t>Non-elective contri CCG6 plan activity 14/15 Q3</t>
  </si>
  <si>
    <t>Non-elective contri CCG7 plan activity 13/14 Q4</t>
  </si>
  <si>
    <t>Non-elective contri CCG7 plan activity 14/15 Q1</t>
  </si>
  <si>
    <t>Non-elective contri CCG7 plan activity 14/15 Q2</t>
  </si>
  <si>
    <t>Non-elective contri CCG7 plan activity 14/15 Q3</t>
  </si>
  <si>
    <t>Non-elective contri CCG8 plan activity 13/14 Q4</t>
  </si>
  <si>
    <t>Non-elective contri CCG8 plan activity 14/15 Q1</t>
  </si>
  <si>
    <t>Non-elective contri CCG8 plan activity 14/15 Q2</t>
  </si>
  <si>
    <t>Non-elective contri CCG8 plan activity 14/15 Q3</t>
  </si>
  <si>
    <t>Non-elective contri CCG9 plan activity 13/14 Q4</t>
  </si>
  <si>
    <t>Non-elective contri CCG9 plan activity 14/15 Q1</t>
  </si>
  <si>
    <t>Non-elective contri CCG9 plan activity 14/15 Q2</t>
  </si>
  <si>
    <t>Non-elective contri CCG9 plan activity 14/15 Q3</t>
  </si>
  <si>
    <t>Non-elective contri CCG10 plan activity 13/14 Q4</t>
  </si>
  <si>
    <t>Non-elective contri CCG10 plan activity 14/15 Q1</t>
  </si>
  <si>
    <t>Non-elective contri CCG10 plan activity 14/15 Q2</t>
  </si>
  <si>
    <t>Non-elective contri CCG10 plan activity 14/15 Q3</t>
  </si>
  <si>
    <t>Non-elective contri CCG11 plan activity 13/14 Q4</t>
  </si>
  <si>
    <t>Non-elective contri CCG11 plan activity 14/15 Q1</t>
  </si>
  <si>
    <t>Non-elective contri CCG11 plan activity 14/15 Q2</t>
  </si>
  <si>
    <t>Non-elective contri CCG11 plan activity 14/15 Q3</t>
  </si>
  <si>
    <t>Non-elective contri CCG12 plan activity 13/14 Q4</t>
  </si>
  <si>
    <t>Non-elective contri CCG12 plan activity 14/15 Q1</t>
  </si>
  <si>
    <t>Non-elective contri CCG12 plan activity 14/15 Q2</t>
  </si>
  <si>
    <t>Non-elective contri CCG12 plan activity 14/15 Q3</t>
  </si>
  <si>
    <t>Non-elective contri CCG13 plan activity 13/14 Q4</t>
  </si>
  <si>
    <t>Non-elective contri CCG13 plan activity 14/15 Q1</t>
  </si>
  <si>
    <t>Non-elective contri CCG13 plan activity 14/15 Q2</t>
  </si>
  <si>
    <t>Non-elective contri CCG13 plan activity 14/15 Q3</t>
  </si>
  <si>
    <t>Non-elective contri CCG14 plan activity 13/14 Q4</t>
  </si>
  <si>
    <t>Non-elective contri CCG14 plan activity 14/15 Q1</t>
  </si>
  <si>
    <t>Non-elective contri CCG14 plan activity 14/15 Q2</t>
  </si>
  <si>
    <t>Non-elective contri CCG14 plan activity 14/15 Q3</t>
  </si>
  <si>
    <t>Non-elective contri CCG15 plan activity 13/14 Q4</t>
  </si>
  <si>
    <t>Non-elective contri CCG15 plan activity 14/15 Q1</t>
  </si>
  <si>
    <t>Non-elective contri CCG15 plan activity 14/15 Q2</t>
  </si>
  <si>
    <t>Non-elective contri CCG15 plan activity 14/15 Q3</t>
  </si>
  <si>
    <t>Non-elective contri CCG16 plan activity 13/14 Q4</t>
  </si>
  <si>
    <t>Non-elective contri CCG16 plan activity 14/15 Q1</t>
  </si>
  <si>
    <t>Non-elective contri CCG16 plan activity 14/15 Q2</t>
  </si>
  <si>
    <t>Non-elective contri CCG16 plan activity 14/15 Q3</t>
  </si>
  <si>
    <t>Non-elective contri CCG17 plan activity 13/14 Q4</t>
  </si>
  <si>
    <t>Non-elective contri CCG17 plan activity 14/15 Q1</t>
  </si>
  <si>
    <t>Non-elective contri CCG17 plan activity 14/15 Q2</t>
  </si>
  <si>
    <t>Non-elective contri CCG17 plan activity 14/15 Q3</t>
  </si>
  <si>
    <t>Non-elective contri CCG18 plan activity 13/14 Q4</t>
  </si>
  <si>
    <t>Non-elective contri CCG18 plan activity 14/15 Q1</t>
  </si>
  <si>
    <t>Non-elective contri CCG18 plan activity 14/15 Q2</t>
  </si>
  <si>
    <t>Non-elective contri CCG18 plan activity 14/15 Q3</t>
  </si>
  <si>
    <t>Non-elective contri CCG19 plan activity 13/14 Q4</t>
  </si>
  <si>
    <t>Non-elective contri CCG19 plan activity 14/15 Q1</t>
  </si>
  <si>
    <t>Non-elective contri CCG19 plan activity 14/15 Q2</t>
  </si>
  <si>
    <t>Non-elective contri CCG19 plan activity 14/15 Q3</t>
  </si>
  <si>
    <t>Non-elective contri CCG20 plan activity 13/14 Q4</t>
  </si>
  <si>
    <t>Non-elective contri CCG20 plan activity 14/15 Q1</t>
  </si>
  <si>
    <t>Non-elective contri CCG20 plan activity 14/15 Q2</t>
  </si>
  <si>
    <t>Non-elective contri CCG20 plan activity 14/15 Q3</t>
  </si>
  <si>
    <t>Non-elective contri CCG21 plan activity 13/14 Q4</t>
  </si>
  <si>
    <t>Non-elective contri CCG21 plan activity 14/15 Q1</t>
  </si>
  <si>
    <t>Non-elective contri CCG21 plan activity 14/15 Q2</t>
  </si>
  <si>
    <t>Non-elective contri CCG21 plan activity 14/15 Q3</t>
  </si>
  <si>
    <t>Q4 14/15</t>
  </si>
  <si>
    <t>Q1 15/16</t>
  </si>
  <si>
    <t>Q3 15/16</t>
  </si>
  <si>
    <t>Q2 15/16</t>
  </si>
  <si>
    <t>Baseline of Non Elective Activity (Q4 13/14 - Q3 14/15)</t>
  </si>
  <si>
    <t>Planned (from 'HWB P4P metric' tab)</t>
  </si>
  <si>
    <t>Planned (from ''HWB Supporting Metrics' tab)</t>
  </si>
  <si>
    <t>Please complete all white cells in tables. Other white cells should be completed/revised as appropriate.</t>
  </si>
  <si>
    <t>No cells need to be completed in this tab. However, 2014-15 and 2015-16 projected counts for each metric can be overwritten (white cells) if areas wish to set their own projections.</t>
  </si>
  <si>
    <t>CCG  baseline activity (14-15 figures are CCG plans)</t>
  </si>
  <si>
    <t>Pay for performance period</t>
  </si>
  <si>
    <t>Please complete the five white cells in the Non-Elective admissions table. Other white cells can be completed/revised as appropriate.</t>
  </si>
  <si>
    <t>P4P annual change in admissions</t>
  </si>
  <si>
    <t>P4P annual change in admissions (%)</t>
  </si>
  <si>
    <t>P4P annual saving</t>
  </si>
  <si>
    <t>Non - Elective admissions (general and acute)</t>
  </si>
  <si>
    <t>Baseline (14-15 figures are CCG plans)</t>
  </si>
  <si>
    <t>Non-elective admissions (general and acute)</t>
  </si>
  <si>
    <t>Change in Non Elective Activity</t>
  </si>
  <si>
    <t>% Change in Non Elective Activity</t>
  </si>
  <si>
    <t>Cumulative Change in Non Elective Activity</t>
  </si>
  <si>
    <t>Cumulative % Change in Non Elective Activity</t>
  </si>
  <si>
    <t>B06</t>
  </si>
  <si>
    <t>B07</t>
  </si>
  <si>
    <t>B08</t>
  </si>
  <si>
    <t>B09</t>
  </si>
  <si>
    <t>Numbers</t>
  </si>
  <si>
    <t>T03</t>
  </si>
  <si>
    <t>B10</t>
  </si>
  <si>
    <t>B11</t>
  </si>
  <si>
    <t>T04</t>
  </si>
  <si>
    <t>TT4</t>
  </si>
  <si>
    <t>If other please specifiy</t>
  </si>
  <si>
    <t>Total (Saving) 
(£)</t>
  </si>
  <si>
    <t>Unit
 Price 
(£)</t>
  </si>
  <si>
    <t>From 3. HWB Expenditure Plan</t>
  </si>
  <si>
    <r>
      <t>2015/16</t>
    </r>
    <r>
      <rPr>
        <sz val="11"/>
        <color theme="0" tint="-0.14999847407452621"/>
        <rFont val="Arial"/>
        <family val="2"/>
      </rPr>
      <t/>
    </r>
  </si>
  <si>
    <r>
      <t xml:space="preserve">2014/15 </t>
    </r>
    <r>
      <rPr>
        <sz val="11"/>
        <color theme="0" tint="-0.14999847407452621"/>
        <rFont val="Arial"/>
        <family val="2"/>
      </rPr>
      <t/>
    </r>
  </si>
  <si>
    <t>Summary of Total BCF Expenditure</t>
  </si>
  <si>
    <t>if Joint % NHS</t>
  </si>
  <si>
    <t>if Joint % LA</t>
  </si>
  <si>
    <t>Joint</t>
  </si>
  <si>
    <t>Validation1516</t>
  </si>
  <si>
    <t>Validation1415</t>
  </si>
  <si>
    <t>Health and Wellbeing Board Details</t>
  </si>
  <si>
    <t>Summary of NHS Commissioned out of hospital services spend from MINIMUM BCF Pool</t>
  </si>
  <si>
    <t>If different to the figure in cell D18, please indicate the total amount from the BCF that has been allocated for the protection of adult social care services</t>
  </si>
  <si>
    <t>From 5.HWB P4P metric</t>
  </si>
  <si>
    <t xml:space="preserve">If you would prefer to provide aggregated figures for the savings (columns F-J), for a group of schemes related to one benefit type (e.g. delayed transfers of care), rather than filling in figures against each of your individual schemes, then you may do so. 
If so, please do this as a separate row entitled “Aggregated benefit of schemes for X”, completing columns D, F, G, I and J for that row. But please make sure you do not enter values against both the individual schemes you have listed, and the “aggregated benefit” line. This is to avoid double counting the benefits.
However, if the aggregated benefits fall to different organisations (e.g. some to the CCG and some to the local authority) then you will need to provide one row for the aggregated benefits to each type of organisation (identifying the type of organisation in column D) with values entered in columns F-J. 
</t>
  </si>
  <si>
    <t>Please provide:</t>
  </si>
  <si>
    <r>
      <t>2014/15</t>
    </r>
    <r>
      <rPr>
        <sz val="11"/>
        <color theme="0" tint="-0.14999847407452621"/>
        <rFont val="Arial"/>
        <family val="2"/>
      </rPr>
      <t/>
    </r>
  </si>
  <si>
    <t>Please confirm the amount allocated for the protection of adult social care</t>
  </si>
  <si>
    <t xml:space="preserve">  Q4
(Jan 14 - Mar 14)</t>
  </si>
  <si>
    <t>Q4 
(Jan 14 - Mar 14)</t>
  </si>
  <si>
    <t>Barking and Dagenham1</t>
  </si>
  <si>
    <t>Barnet1</t>
  </si>
  <si>
    <t>Barnsley1</t>
  </si>
  <si>
    <t>Bath and North East Somerset1</t>
  </si>
  <si>
    <t>Bedford1</t>
  </si>
  <si>
    <t>Bexley1</t>
  </si>
  <si>
    <t>Birmingham1</t>
  </si>
  <si>
    <t>Birmingham2</t>
  </si>
  <si>
    <t>Birmingham3</t>
  </si>
  <si>
    <t>Blackburn with Darwen1</t>
  </si>
  <si>
    <t>Blackpool1</t>
  </si>
  <si>
    <t>Bolton1</t>
  </si>
  <si>
    <t>Bournemouth &amp; Poole1</t>
  </si>
  <si>
    <t>NHS Dorset CCG - Bournemouth element</t>
  </si>
  <si>
    <t>Bracknell Forest1</t>
  </si>
  <si>
    <t>Bradford1</t>
  </si>
  <si>
    <t>Bradford2</t>
  </si>
  <si>
    <t>Bradford3</t>
  </si>
  <si>
    <t>Brent1</t>
  </si>
  <si>
    <t>Brighton and Hove1</t>
  </si>
  <si>
    <t>Bristol, City of1</t>
  </si>
  <si>
    <t>Bromley1</t>
  </si>
  <si>
    <t>Buckinghamshire1</t>
  </si>
  <si>
    <t>Buckinghamshire2</t>
  </si>
  <si>
    <t>Buckinghamshire3</t>
  </si>
  <si>
    <t>0</t>
  </si>
  <si>
    <t>Bury1</t>
  </si>
  <si>
    <t>Calderdale1</t>
  </si>
  <si>
    <t>Cambridgeshire1</t>
  </si>
  <si>
    <t>Camden1</t>
  </si>
  <si>
    <t>Central Bedfordshire1</t>
  </si>
  <si>
    <t>Cheshire East1</t>
  </si>
  <si>
    <t>Cheshire East2</t>
  </si>
  <si>
    <t>Cheshire West and Chester1</t>
  </si>
  <si>
    <t>Cheshire West and Chester2</t>
  </si>
  <si>
    <t>City of London1</t>
  </si>
  <si>
    <t>Cornwall1</t>
  </si>
  <si>
    <t>County Durham1</t>
  </si>
  <si>
    <t>County Durham2</t>
  </si>
  <si>
    <t>Coventry1</t>
  </si>
  <si>
    <t>Croydon1</t>
  </si>
  <si>
    <t>Cumbria1</t>
  </si>
  <si>
    <t>Darlington1</t>
  </si>
  <si>
    <t>Derby1</t>
  </si>
  <si>
    <t>Derbyshire1</t>
  </si>
  <si>
    <t>Derbyshire2</t>
  </si>
  <si>
    <t>Derbyshire3</t>
  </si>
  <si>
    <t>Derbyshire4</t>
  </si>
  <si>
    <t>Derbyshire5</t>
  </si>
  <si>
    <t>Devon1</t>
  </si>
  <si>
    <t>Devon2</t>
  </si>
  <si>
    <t>Doncaster1</t>
  </si>
  <si>
    <t>Dorset1</t>
  </si>
  <si>
    <t>Dudley1</t>
  </si>
  <si>
    <t>Ealing1</t>
  </si>
  <si>
    <t>East Riding of Yorkshire1</t>
  </si>
  <si>
    <t>East Riding of Yorkshire2</t>
  </si>
  <si>
    <t>East Sussex1</t>
  </si>
  <si>
    <t>East Sussex2</t>
  </si>
  <si>
    <t>East Sussex3</t>
  </si>
  <si>
    <t>Enfield1</t>
  </si>
  <si>
    <t>Essex1</t>
  </si>
  <si>
    <t>Essex2</t>
  </si>
  <si>
    <t>Essex3</t>
  </si>
  <si>
    <t>Essex4</t>
  </si>
  <si>
    <t>Essex5</t>
  </si>
  <si>
    <t>Gateshead1</t>
  </si>
  <si>
    <t>Gloucestershire1</t>
  </si>
  <si>
    <t>Greenwich1</t>
  </si>
  <si>
    <t>Hackney1</t>
  </si>
  <si>
    <t>Halton1</t>
  </si>
  <si>
    <t>Hammersmith and Fulham1</t>
  </si>
  <si>
    <t>Hampshire1</t>
  </si>
  <si>
    <t>Hampshire2</t>
  </si>
  <si>
    <t>Hampshire3</t>
  </si>
  <si>
    <t>Hampshire4</t>
  </si>
  <si>
    <t>Hampshire5</t>
  </si>
  <si>
    <t>Haringey1</t>
  </si>
  <si>
    <t>Harrow1</t>
  </si>
  <si>
    <t>Hartlepool1</t>
  </si>
  <si>
    <t>Havering1</t>
  </si>
  <si>
    <t>Herefordshire, County of1</t>
  </si>
  <si>
    <t>Hertfordshire1</t>
  </si>
  <si>
    <t>Hertfordshire2</t>
  </si>
  <si>
    <t>Hertfordshire3</t>
  </si>
  <si>
    <t>Hillingdon1</t>
  </si>
  <si>
    <t>Hounslow1</t>
  </si>
  <si>
    <t>Isle of Wight1</t>
  </si>
  <si>
    <t>Isles of Scilly1</t>
  </si>
  <si>
    <t>Islington1</t>
  </si>
  <si>
    <t>Kensington and Chelsea1</t>
  </si>
  <si>
    <t>Kent1</t>
  </si>
  <si>
    <t>Kent2</t>
  </si>
  <si>
    <t>Kent3</t>
  </si>
  <si>
    <t>Kent4</t>
  </si>
  <si>
    <t>Kent5</t>
  </si>
  <si>
    <t>Kent6</t>
  </si>
  <si>
    <t>Kent7</t>
  </si>
  <si>
    <t>Kingston upon Hull, City of1</t>
  </si>
  <si>
    <t>Kingston upon Thames1</t>
  </si>
  <si>
    <t>Kirklees1</t>
  </si>
  <si>
    <t>Kirklees2</t>
  </si>
  <si>
    <t>Knowsley1</t>
  </si>
  <si>
    <t>Lambeth1</t>
  </si>
  <si>
    <t>Lancashire1</t>
  </si>
  <si>
    <t>Lancashire2</t>
  </si>
  <si>
    <t>Lancashire3</t>
  </si>
  <si>
    <t>Lancashire4</t>
  </si>
  <si>
    <t>Lancashire5</t>
  </si>
  <si>
    <t>Lancashire6</t>
  </si>
  <si>
    <t>Leeds1</t>
  </si>
  <si>
    <t>Leeds2</t>
  </si>
  <si>
    <t>Leeds3</t>
  </si>
  <si>
    <t>Leicester1</t>
  </si>
  <si>
    <t>Leicestershire1</t>
  </si>
  <si>
    <t>Leicestershire2</t>
  </si>
  <si>
    <t>Lewisham1</t>
  </si>
  <si>
    <t>Lincolnshire1</t>
  </si>
  <si>
    <t>Lincolnshire2</t>
  </si>
  <si>
    <t>Lincolnshire3</t>
  </si>
  <si>
    <t>Lincolnshire4</t>
  </si>
  <si>
    <t>Liverpool1</t>
  </si>
  <si>
    <t>Luton1</t>
  </si>
  <si>
    <t>Manchester1</t>
  </si>
  <si>
    <t>Manchester2</t>
  </si>
  <si>
    <t>Manchester3</t>
  </si>
  <si>
    <t>Medway1</t>
  </si>
  <si>
    <t>Merton1</t>
  </si>
  <si>
    <t>Middlesbrough1</t>
  </si>
  <si>
    <t>Milton Keynes1</t>
  </si>
  <si>
    <t>Newcastle upon Tyne1</t>
  </si>
  <si>
    <t>Newcastle upon Tyne2</t>
  </si>
  <si>
    <t>Newham1</t>
  </si>
  <si>
    <t>Norfolk1</t>
  </si>
  <si>
    <t>Norfolk2</t>
  </si>
  <si>
    <t>Norfolk3</t>
  </si>
  <si>
    <t>Norfolk4</t>
  </si>
  <si>
    <t>Norfolk5</t>
  </si>
  <si>
    <t>North East Lincolnshire1</t>
  </si>
  <si>
    <t>North Lincolnshire1</t>
  </si>
  <si>
    <t>North Somerset1</t>
  </si>
  <si>
    <t>North Tyneside1</t>
  </si>
  <si>
    <t>North Yorkshire1</t>
  </si>
  <si>
    <t>North Yorkshire2</t>
  </si>
  <si>
    <t>North Yorkshire3</t>
  </si>
  <si>
    <t>North Yorkshire4</t>
  </si>
  <si>
    <t>North Yorkshire5</t>
  </si>
  <si>
    <t>North Yorkshire6</t>
  </si>
  <si>
    <t>Northamptonshire1</t>
  </si>
  <si>
    <t>Northamptonshire2</t>
  </si>
  <si>
    <t>Northamptonshire3</t>
  </si>
  <si>
    <t>Northumberland1</t>
  </si>
  <si>
    <t>Nottingham1</t>
  </si>
  <si>
    <t>Nottinghamshire1</t>
  </si>
  <si>
    <t>Nottinghamshire2</t>
  </si>
  <si>
    <t>Nottinghamshire3</t>
  </si>
  <si>
    <t>Nottinghamshire4</t>
  </si>
  <si>
    <t>Nottinghamshire5</t>
  </si>
  <si>
    <t>Nottinghamshire6</t>
  </si>
  <si>
    <t>Oldham1</t>
  </si>
  <si>
    <t>Oxfordshire1</t>
  </si>
  <si>
    <t>Oxfordshire2</t>
  </si>
  <si>
    <t>Oxfordshire3</t>
  </si>
  <si>
    <t>Peterborough1</t>
  </si>
  <si>
    <t>Plymouth1</t>
  </si>
  <si>
    <t>Bournemouth &amp; Poole2</t>
  </si>
  <si>
    <t>NHS Dorset CCG - Poole element</t>
  </si>
  <si>
    <t>Portsmouth1</t>
  </si>
  <si>
    <t>Reading1</t>
  </si>
  <si>
    <t>Reading2</t>
  </si>
  <si>
    <t>Redbridge1</t>
  </si>
  <si>
    <t>Redcar and Cleveland1</t>
  </si>
  <si>
    <t>Richmond upon Thames1</t>
  </si>
  <si>
    <t>Rochdale1</t>
  </si>
  <si>
    <t>Rotherham1</t>
  </si>
  <si>
    <t>Rutland1</t>
  </si>
  <si>
    <t>Salford1</t>
  </si>
  <si>
    <t>Sandwell1</t>
  </si>
  <si>
    <t>Sefton1</t>
  </si>
  <si>
    <t>Sefton2</t>
  </si>
  <si>
    <t>Sheffield1</t>
  </si>
  <si>
    <t>Shropshire1</t>
  </si>
  <si>
    <t>Slough1</t>
  </si>
  <si>
    <t>Solihull1</t>
  </si>
  <si>
    <t>Somerset1</t>
  </si>
  <si>
    <t>South Gloucestershire1</t>
  </si>
  <si>
    <t>South Tyneside1</t>
  </si>
  <si>
    <t>Southampton1</t>
  </si>
  <si>
    <t>Southend-on-Sea1</t>
  </si>
  <si>
    <t>Southwark1</t>
  </si>
  <si>
    <t>St. Helens1</t>
  </si>
  <si>
    <t>Staffordshire1</t>
  </si>
  <si>
    <t>Staffordshire2</t>
  </si>
  <si>
    <t>Staffordshire3</t>
  </si>
  <si>
    <t>Staffordshire4</t>
  </si>
  <si>
    <t>Staffordshire5</t>
  </si>
  <si>
    <t>Staffordshire6</t>
  </si>
  <si>
    <t>Stockport1</t>
  </si>
  <si>
    <t>Stockton-on-Tees1</t>
  </si>
  <si>
    <t>Stoke-on-Trent1</t>
  </si>
  <si>
    <t>Suffolk1</t>
  </si>
  <si>
    <t>Suffolk2</t>
  </si>
  <si>
    <t>Suffolk3</t>
  </si>
  <si>
    <t>Sunderland1</t>
  </si>
  <si>
    <t>Surrey1</t>
  </si>
  <si>
    <t>Surrey2</t>
  </si>
  <si>
    <t>Surrey3</t>
  </si>
  <si>
    <t>Surrey4</t>
  </si>
  <si>
    <t>Surrey5</t>
  </si>
  <si>
    <t>Surrey6</t>
  </si>
  <si>
    <t>Surrey7</t>
  </si>
  <si>
    <t>Sutton1</t>
  </si>
  <si>
    <t>Swindon1</t>
  </si>
  <si>
    <t>Tameside1</t>
  </si>
  <si>
    <t>Telford and Wrekin1</t>
  </si>
  <si>
    <t>Thurrock1</t>
  </si>
  <si>
    <t>Torbay1</t>
  </si>
  <si>
    <t>Tower Hamlets1</t>
  </si>
  <si>
    <t>Trafford1</t>
  </si>
  <si>
    <t>Wakefield1</t>
  </si>
  <si>
    <t>Walsall1</t>
  </si>
  <si>
    <t>Waltham Forest1</t>
  </si>
  <si>
    <t>Wandsworth1</t>
  </si>
  <si>
    <t>Warrington1</t>
  </si>
  <si>
    <t>Warwickshire1</t>
  </si>
  <si>
    <t>Warwickshire2</t>
  </si>
  <si>
    <t>Warwickshire3</t>
  </si>
  <si>
    <t>West Berkshire1</t>
  </si>
  <si>
    <t>West Berkshire2</t>
  </si>
  <si>
    <t>West Sussex1</t>
  </si>
  <si>
    <t>West Sussex2</t>
  </si>
  <si>
    <t>West Sussex3</t>
  </si>
  <si>
    <t>West Sussex4</t>
  </si>
  <si>
    <t>Westminster1</t>
  </si>
  <si>
    <t>Westminster2</t>
  </si>
  <si>
    <t>Wigan1</t>
  </si>
  <si>
    <t>Wiltshire1</t>
  </si>
  <si>
    <t>Windsor and Maidenhead1</t>
  </si>
  <si>
    <t>Windsor and Maidenhead2</t>
  </si>
  <si>
    <t>Wirral1</t>
  </si>
  <si>
    <t>Wokingham1</t>
  </si>
  <si>
    <t>Wolverhampton1</t>
  </si>
  <si>
    <t>Worcestershire1</t>
  </si>
  <si>
    <t>Worcestershire2</t>
  </si>
  <si>
    <t>Worcestershire3</t>
  </si>
  <si>
    <t>York1</t>
  </si>
  <si>
    <t>HWB Financial Plan</t>
  </si>
  <si>
    <t>Date</t>
  </si>
  <si>
    <t>Sheet</t>
  </si>
  <si>
    <t>Cells</t>
  </si>
  <si>
    <t>Payment for Performance</t>
  </si>
  <si>
    <t>B23</t>
  </si>
  <si>
    <r>
      <t xml:space="preserve">formula modified to </t>
    </r>
    <r>
      <rPr>
        <i/>
        <sz val="8"/>
        <color theme="1"/>
        <rFont val="Calibri"/>
        <family val="2"/>
        <scheme val="minor"/>
      </rPr>
      <t>=IF(B21-B19&lt;0,0,B21-B19)</t>
    </r>
  </si>
  <si>
    <t>1. HWB Funding Sources</t>
  </si>
  <si>
    <t>C27</t>
  </si>
  <si>
    <r>
      <t xml:space="preserve">formula modified to </t>
    </r>
    <r>
      <rPr>
        <i/>
        <sz val="8"/>
        <color theme="1"/>
        <rFont val="Calibri"/>
        <family val="2"/>
        <scheme val="minor"/>
      </rPr>
      <t>=SUM(C20:C26)</t>
    </r>
  </si>
  <si>
    <t>HWB ID</t>
  </si>
  <si>
    <t>J2</t>
  </si>
  <si>
    <t>Changed to Version 2</t>
  </si>
  <si>
    <t>a</t>
  </si>
  <si>
    <t xml:space="preserve">Various </t>
  </si>
  <si>
    <t xml:space="preserve">Data mapped correctly for Bournemouth &amp; Poole </t>
  </si>
  <si>
    <t>AP1:AP348</t>
  </si>
  <si>
    <t>Allocation updated for changes</t>
  </si>
  <si>
    <t>All sheets</t>
  </si>
  <si>
    <t>Columns</t>
  </si>
  <si>
    <t>Allowed to modify column width if required</t>
  </si>
  <si>
    <t>8. Non elective admissions - CCG</t>
  </si>
  <si>
    <t>Updated CCG plans for Wolverhampton, Ashford and Canterbury CCGs</t>
  </si>
  <si>
    <t>6. HWB supporting metrics</t>
  </si>
  <si>
    <t>D18</t>
  </si>
  <si>
    <t>Updated conditional formatting to not show green if baseline is 0</t>
  </si>
  <si>
    <t>D19</t>
  </si>
  <si>
    <t>Comment added</t>
  </si>
  <si>
    <t>7. Metric trends</t>
  </si>
  <si>
    <t>K11:O11, G43:H43,G66:H66</t>
  </si>
  <si>
    <t>Updated forecast formulas</t>
  </si>
  <si>
    <t>Data</t>
  </si>
  <si>
    <t>Various</t>
  </si>
  <si>
    <t>Changed a couple of 'dashes' to zeros</t>
  </si>
  <si>
    <t>5. HWB P4P metric</t>
  </si>
  <si>
    <t>H14</t>
  </si>
  <si>
    <t xml:space="preserve">Removed rounding </t>
  </si>
  <si>
    <t>A48:C54</t>
  </si>
  <si>
    <t>Unprotect cells and allow entry</t>
  </si>
  <si>
    <t>G10:K10</t>
  </si>
  <si>
    <t>Updated conditional formatting</t>
  </si>
  <si>
    <t>H13</t>
  </si>
  <si>
    <r>
      <t xml:space="preserve">formula modified to </t>
    </r>
    <r>
      <rPr>
        <i/>
        <sz val="8"/>
        <color theme="1"/>
        <rFont val="Calibri"/>
        <family val="2"/>
        <scheme val="minor"/>
      </rPr>
      <t>=IF(OR(G10&lt;0,H10&lt;0,I10&lt;0,J10&lt;0),"",IF(OR(ISTEXT(G10),ISTEXT(H10),ISTEXT(I10),ISTEXT(J10)),"",IF(SUM(G10:J10)=0,"",(SUM(G10:J10)/SUM(C10:F10))-1)))</t>
    </r>
  </si>
  <si>
    <t>Apply conditional formatting</t>
  </si>
  <si>
    <r>
      <t xml:space="preserve">formula modified to </t>
    </r>
    <r>
      <rPr>
        <i/>
        <sz val="8"/>
        <color theme="1"/>
        <rFont val="Calibri"/>
        <family val="2"/>
        <scheme val="minor"/>
      </rPr>
      <t>=if(H13="","",-H12*J14)</t>
    </r>
  </si>
  <si>
    <t>4. HWB Benefits Plan</t>
  </si>
  <si>
    <t>J69:J118</t>
  </si>
  <si>
    <t>Remove formula</t>
  </si>
  <si>
    <t>B11:B60, B69:B118</t>
  </si>
  <si>
    <t>Texted modified</t>
  </si>
  <si>
    <t>Version 2</t>
  </si>
  <si>
    <t>Rationale for change from £1,490</t>
  </si>
  <si>
    <r>
      <t>Please enter the average cost of a non-elective admission</t>
    </r>
    <r>
      <rPr>
        <vertAlign val="superscript"/>
        <sz val="9"/>
        <color theme="1"/>
        <rFont val="Arial"/>
        <family val="2"/>
      </rPr>
      <t>1</t>
    </r>
  </si>
  <si>
    <r>
      <t>1</t>
    </r>
    <r>
      <rPr>
        <sz val="11"/>
        <color theme="1"/>
        <rFont val="Calibri"/>
        <family val="2"/>
        <scheme val="minor"/>
      </rPr>
      <t xml:space="preserve"> The default figure of £1,490 in the template is based on the average reported cost of a non-elective inpatient episode (excluding excess bed days), taken from the latest (2012/13) Reference Costs. Alternatively the average reported spell cost of a non-elective inpatient admission (including excess bed days) from the same source is £2,118.  To note, these average figures do not account for the 30% marginal rate rule and may not reflect costs variations to a locality such as MFF or cohort pricing. In recognition of these variations the average cost can be revised in the template although a rationale for any change should be provided.</t>
    </r>
  </si>
  <si>
    <t>Annual change in admissions</t>
  </si>
  <si>
    <t>Annual change in admissions %</t>
  </si>
  <si>
    <t>Annual change in proportion</t>
  </si>
  <si>
    <t>Annual change in proportion %</t>
  </si>
  <si>
    <t>I61, I119, J61, J119</t>
  </si>
  <si>
    <t>Delete formula</t>
  </si>
  <si>
    <t>rows 119:168</t>
  </si>
  <si>
    <t>Additional 50 rows added to 14-15 table for orgaanisations that need it.  Please unhide to use</t>
  </si>
  <si>
    <t>rows 59:108</t>
  </si>
  <si>
    <t>Additional 50 rows added to 15-16 table for orgaanisations that need it.  Please unhide to use</t>
  </si>
  <si>
    <t>3. HWB Expenditure Plan</t>
  </si>
  <si>
    <t>Additional 50 rows added to table for orgaanisations that need it.  Please unhide to use</t>
  </si>
  <si>
    <t xml:space="preserve">M8 </t>
  </si>
  <si>
    <r>
      <t>Add Primary Care to drop down list in column I on sheet '</t>
    </r>
    <r>
      <rPr>
        <i/>
        <sz val="11"/>
        <color theme="1"/>
        <rFont val="Calibri"/>
        <family val="2"/>
        <scheme val="minor"/>
      </rPr>
      <t>3. HWB Expenditure Plan'</t>
    </r>
  </si>
  <si>
    <t>Changed to Version 3</t>
  </si>
  <si>
    <t>C11, I32, M32</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</si>
  <si>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in admissions</t>
    </r>
    <r>
      <rPr>
        <i/>
        <sz val="11"/>
        <color rgb="FF1F497D"/>
        <rFont val="Calibri"/>
        <family val="2"/>
        <scheme val="minor"/>
      </rPr>
      <t>’</t>
    </r>
  </si>
  <si>
    <t>C12, I33, M33</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</si>
  <si>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 xml:space="preserve">in admissions </t>
    </r>
    <r>
      <rPr>
        <i/>
        <sz val="11"/>
        <color rgb="FF1F497D"/>
        <rFont val="Calibri"/>
        <family val="2"/>
        <scheme val="minor"/>
      </rPr>
      <t>%’</t>
    </r>
  </si>
  <si>
    <t>C21</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</si>
  <si>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in proportion</t>
    </r>
    <r>
      <rPr>
        <i/>
        <sz val="11"/>
        <color rgb="FF1F497D"/>
        <rFont val="Calibri"/>
        <family val="2"/>
        <scheme val="minor"/>
      </rPr>
      <t>’</t>
    </r>
  </si>
  <si>
    <t>C22</t>
  </si>
  <si>
    <r>
      <rPr>
        <sz val="11"/>
        <color rgb="FF1F497D"/>
        <rFont val="Calibri"/>
        <family val="2"/>
        <scheme val="minor"/>
      </rPr>
      <t xml:space="preserve">Change text  to </t>
    </r>
    <r>
      <rPr>
        <i/>
        <sz val="11"/>
        <color rgb="FF1F497D"/>
        <rFont val="Calibri"/>
        <family val="2"/>
        <scheme val="minor"/>
      </rPr>
      <t xml:space="preserve">‘Annual change </t>
    </r>
    <r>
      <rPr>
        <i/>
        <sz val="11"/>
        <color rgb="FFFF0000"/>
        <rFont val="Calibri"/>
        <family val="2"/>
        <scheme val="minor"/>
      </rPr>
      <t xml:space="preserve">in proportion </t>
    </r>
    <r>
      <rPr>
        <i/>
        <sz val="11"/>
        <color rgb="FF1F497D"/>
        <rFont val="Calibri"/>
        <family val="2"/>
        <scheme val="minor"/>
      </rPr>
      <t>%’</t>
    </r>
  </si>
  <si>
    <t>D21</t>
  </si>
  <si>
    <r>
      <rPr>
        <sz val="11"/>
        <color rgb="FF1F497D"/>
        <rFont val="Calibri"/>
        <family val="2"/>
        <scheme val="minor"/>
      </rPr>
      <t xml:space="preserve">Change formula to </t>
    </r>
    <r>
      <rPr>
        <i/>
        <sz val="11"/>
        <color rgb="FF1F497D"/>
        <rFont val="Calibri"/>
        <family val="2"/>
        <scheme val="minor"/>
      </rPr>
      <t>=if(D19=0,0,D</t>
    </r>
    <r>
      <rPr>
        <i/>
        <sz val="11"/>
        <color rgb="FFFF0000"/>
        <rFont val="Calibri"/>
        <family val="2"/>
        <scheme val="minor"/>
      </rPr>
      <t>18</t>
    </r>
    <r>
      <rPr>
        <i/>
        <sz val="11"/>
        <color rgb="FF1F497D"/>
        <rFont val="Calibri"/>
        <family val="2"/>
        <scheme val="minor"/>
      </rPr>
      <t>-C</t>
    </r>
    <r>
      <rPr>
        <i/>
        <sz val="11"/>
        <color rgb="FFFF0000"/>
        <rFont val="Calibri"/>
        <family val="2"/>
        <scheme val="minor"/>
      </rPr>
      <t>18</t>
    </r>
    <r>
      <rPr>
        <i/>
        <sz val="11"/>
        <color rgb="FF1F497D"/>
        <rFont val="Calibri"/>
        <family val="2"/>
        <scheme val="minor"/>
      </rPr>
      <t xml:space="preserve">) </t>
    </r>
  </si>
  <si>
    <r>
      <rPr>
        <sz val="11"/>
        <color rgb="FF1F497D"/>
        <rFont val="Calibri"/>
        <family val="2"/>
        <scheme val="minor"/>
      </rPr>
      <t xml:space="preserve">Change format to </t>
    </r>
    <r>
      <rPr>
        <sz val="11"/>
        <color rgb="FFFF0000"/>
        <rFont val="Calibri"/>
        <family val="2"/>
        <scheme val="minor"/>
      </rPr>
      <t>1</t>
    </r>
    <r>
      <rPr>
        <sz val="11"/>
        <color rgb="FF1F497D"/>
        <rFont val="Calibri"/>
        <family val="2"/>
        <scheme val="minor"/>
      </rPr>
      <t>.dec. place</t>
    </r>
  </si>
  <si>
    <t>E21</t>
  </si>
  <si>
    <r>
      <rPr>
        <sz val="11"/>
        <color rgb="FF1F497D"/>
        <rFont val="Calibri"/>
        <family val="2"/>
        <scheme val="minor"/>
      </rPr>
      <t xml:space="preserve">Change formula  to </t>
    </r>
    <r>
      <rPr>
        <i/>
        <sz val="11"/>
        <color rgb="FF1F497D"/>
        <rFont val="Calibri"/>
        <family val="2"/>
        <scheme val="minor"/>
      </rPr>
      <t>= if(E19=0,0,E</t>
    </r>
    <r>
      <rPr>
        <i/>
        <sz val="11"/>
        <color rgb="FFFF0000"/>
        <rFont val="Calibri"/>
        <family val="2"/>
        <scheme val="minor"/>
      </rPr>
      <t>18</t>
    </r>
    <r>
      <rPr>
        <i/>
        <sz val="11"/>
        <color rgb="FF1F497D"/>
        <rFont val="Calibri"/>
        <family val="2"/>
        <scheme val="minor"/>
      </rPr>
      <t>-D</t>
    </r>
    <r>
      <rPr>
        <i/>
        <sz val="11"/>
        <color rgb="FFFF0000"/>
        <rFont val="Calibri"/>
        <family val="2"/>
        <scheme val="minor"/>
      </rPr>
      <t>18</t>
    </r>
    <r>
      <rPr>
        <i/>
        <sz val="11"/>
        <color rgb="FF1F497D"/>
        <rFont val="Calibri"/>
        <family val="2"/>
        <scheme val="minor"/>
      </rPr>
      <t>)</t>
    </r>
  </si>
  <si>
    <t>D22</t>
  </si>
  <si>
    <r>
      <rPr>
        <sz val="11"/>
        <color rgb="FF1F497D"/>
        <rFont val="Calibri"/>
        <family val="2"/>
        <scheme val="minor"/>
      </rPr>
      <t xml:space="preserve">Change formula to </t>
    </r>
    <r>
      <rPr>
        <i/>
        <sz val="11"/>
        <color rgb="FF1F497D"/>
        <rFont val="Calibri"/>
        <family val="2"/>
        <scheme val="minor"/>
      </rPr>
      <t>=if(D19=0,0,D</t>
    </r>
    <r>
      <rPr>
        <i/>
        <sz val="11"/>
        <color rgb="FFFF0000"/>
        <rFont val="Calibri"/>
        <family val="2"/>
        <scheme val="minor"/>
      </rPr>
      <t>18</t>
    </r>
    <r>
      <rPr>
        <i/>
        <sz val="11"/>
        <color rgb="FF1F497D"/>
        <rFont val="Calibri"/>
        <family val="2"/>
        <scheme val="minor"/>
      </rPr>
      <t>/C</t>
    </r>
    <r>
      <rPr>
        <i/>
        <sz val="11"/>
        <color rgb="FFFF0000"/>
        <rFont val="Calibri"/>
        <family val="2"/>
        <scheme val="minor"/>
      </rPr>
      <t>18</t>
    </r>
    <r>
      <rPr>
        <i/>
        <sz val="11"/>
        <color rgb="FF1F497D"/>
        <rFont val="Calibri"/>
        <family val="2"/>
        <scheme val="minor"/>
      </rPr>
      <t>-1)</t>
    </r>
  </si>
  <si>
    <t>E22</t>
  </si>
  <si>
    <r>
      <rPr>
        <sz val="11"/>
        <color rgb="FF1F497D"/>
        <rFont val="Calibri"/>
        <family val="2"/>
        <scheme val="minor"/>
      </rPr>
      <t xml:space="preserve">Change formula to </t>
    </r>
    <r>
      <rPr>
        <i/>
        <sz val="11"/>
        <color rgb="FF1F497D"/>
        <rFont val="Calibri"/>
        <family val="2"/>
        <scheme val="minor"/>
      </rPr>
      <t>=if(E19=0,0,E</t>
    </r>
    <r>
      <rPr>
        <i/>
        <sz val="11"/>
        <color rgb="FFFF0000"/>
        <rFont val="Calibri"/>
        <family val="2"/>
        <scheme val="minor"/>
      </rPr>
      <t>18</t>
    </r>
    <r>
      <rPr>
        <i/>
        <sz val="11"/>
        <color rgb="FF1F497D"/>
        <rFont val="Calibri"/>
        <family val="2"/>
        <scheme val="minor"/>
      </rPr>
      <t>/D</t>
    </r>
    <r>
      <rPr>
        <i/>
        <sz val="11"/>
        <color rgb="FFFF0000"/>
        <rFont val="Calibri"/>
        <family val="2"/>
        <scheme val="minor"/>
      </rPr>
      <t>18</t>
    </r>
    <r>
      <rPr>
        <i/>
        <sz val="11"/>
        <color rgb="FF1F497D"/>
        <rFont val="Calibri"/>
        <family val="2"/>
        <scheme val="minor"/>
      </rPr>
      <t>-1)</t>
    </r>
  </si>
  <si>
    <t>J14</t>
  </si>
  <si>
    <t>Cell can now be modified  - £1,490 in as a placeholder</t>
  </si>
  <si>
    <t>N9:AL9</t>
  </si>
  <si>
    <t>Test box for an explanation of why different to £1,490 if it is.</t>
  </si>
  <si>
    <t>H11:H110, H119:H218</t>
  </si>
  <si>
    <r>
      <rPr>
        <sz val="11"/>
        <color rgb="FF1F497D"/>
        <rFont val="Calibri"/>
        <family val="2"/>
        <scheme val="minor"/>
      </rPr>
      <t xml:space="preserve">Change formula to  eg. </t>
    </r>
    <r>
      <rPr>
        <i/>
        <sz val="11"/>
        <color rgb="FF1F497D"/>
        <rFont val="Calibri"/>
        <family val="2"/>
        <scheme val="minor"/>
      </rPr>
      <t>=H11*G11</t>
    </r>
  </si>
  <si>
    <t>2. Summary</t>
  </si>
  <si>
    <t>G44:M44</t>
  </si>
  <si>
    <t>Test box for an explanation for the difference between the calculated NEL saving on the metrics tab and the benefits tab</t>
  </si>
  <si>
    <t>Version 3</t>
  </si>
  <si>
    <t>Reablement - Leicestershire Partnership Trust</t>
  </si>
  <si>
    <t>Reablement - Leicster City Council</t>
  </si>
  <si>
    <t>Carer's Funding</t>
  </si>
  <si>
    <t>Risk Stratification</t>
  </si>
  <si>
    <t>CRT</t>
  </si>
  <si>
    <t xml:space="preserve">Unscheduled Care </t>
  </si>
  <si>
    <t>Planned Care</t>
  </si>
  <si>
    <t>ICS</t>
  </si>
  <si>
    <t>Integrated Mental health step down service</t>
  </si>
  <si>
    <t>System Integration Post (7/7)</t>
  </si>
  <si>
    <t>Lifestyle Hub</t>
  </si>
  <si>
    <t xml:space="preserve">IT system integration </t>
  </si>
  <si>
    <t>Mental health discharge liaison Team</t>
  </si>
  <si>
    <t>Existing ASC Transfer</t>
  </si>
  <si>
    <t>ASC Capital Grants</t>
  </si>
  <si>
    <t>2015/16 ASC Increased Tfr</t>
  </si>
  <si>
    <t>Contingency Funding</t>
  </si>
  <si>
    <t>Disabled Facilities Grant</t>
  </si>
  <si>
    <t>Contingency Funds</t>
  </si>
  <si>
    <t>GP Schemes</t>
  </si>
  <si>
    <t>Clinical Response Team</t>
  </si>
  <si>
    <t>Unscheduled Care Team</t>
  </si>
  <si>
    <t>Mental health community crisis team</t>
  </si>
  <si>
    <t>System Integration Coordinator</t>
  </si>
  <si>
    <t>Intensive Community Support service</t>
  </si>
  <si>
    <t>IT integration</t>
  </si>
  <si>
    <t>Risk stratification</t>
  </si>
  <si>
    <t>General Practice scheme (3-10%)</t>
  </si>
  <si>
    <t>Planned Care Team</t>
  </si>
  <si>
    <t>Mental health discharge team</t>
  </si>
  <si>
    <t>Using the metrics model attached</t>
  </si>
  <si>
    <t>Cell D44 is based on financial year 15/16 and E44 based on calendar year 2015</t>
  </si>
  <si>
    <t>Sarah Ferrin</t>
  </si>
  <si>
    <t>Sarah.Ferrin3@Leicestercityccg.nhs.uk</t>
  </si>
  <si>
    <t>Additional funding for schemes to contribute to the overall delivery of Integrated Care</t>
  </si>
  <si>
    <t>Over commitment</t>
  </si>
  <si>
    <t>Will be managed by slippage in year</t>
  </si>
  <si>
    <t>Via Integrated Care dashboard (appendix X)</t>
  </si>
  <si>
    <t>Number of patients on dementia registers as % of the estimated dementia prevalence (national indicator)</t>
  </si>
  <si>
    <t>Taken from GP Survey
(For respondents with a long-standing health condition)
Q32. In the last 6 months, have you had enough support from local services or organisations to help you to manage your long-term health condition(s)? Please think about all services and organisations, not just health
(Total positive responses/total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</si>
</sst>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3" formatCode="_-* #,##0.00_-;\-* #,##0.00_-;_-* &quot;-&quot;??_-;_-@_-"/>
    <numFmt numFmtId="164" formatCode="_(* #,##0.00_);_(* \(#,##0.00\);_(* &quot;-&quot;??_);_(@_)"/>
    <numFmt numFmtId="165" formatCode="_-* #,##0_-;\-* #,##0_-;_-* &quot;-&quot;??_-;_-@_-"/>
    <numFmt numFmtId="166" formatCode="#,##0;[Red]\(#,##0\);\ \-"/>
    <numFmt numFmtId="167" formatCode="_-* #,##0.0_-;\-* #,##0.0_-;_-* &quot;-&quot;??_-;_-@_-"/>
    <numFmt numFmtId="168" formatCode="&quot;£&quot;#,##0"/>
    <numFmt numFmtId="169" formatCode="0.0"/>
    <numFmt numFmtId="170" formatCode="#,##0.0"/>
    <numFmt numFmtId="171" formatCode="#,##0_ ;\-#,##0\ "/>
    <numFmt numFmtId="172" formatCode="0.0%"/>
    <numFmt numFmtId="173" formatCode="#,##0_ ;[Red]\-#,##0\ "/>
    <numFmt numFmtId="174" formatCode="0.0%;[Red]\-0.0%"/>
    <numFmt numFmtId="175" formatCode="_(&quot;$&quot;#,##0.0_);\(&quot;$&quot;#,##0.0\);_(&quot;-&quot;_)"/>
    <numFmt numFmtId="176" formatCode="#,##0;\(#,##0\)"/>
    <numFmt numFmtId="177" formatCode="#,##0;\-#,##0;\-"/>
    <numFmt numFmtId="178" formatCode="mmm\ \-\ yy"/>
    <numFmt numFmtId="179" formatCode="[Magenta]&quot;Err&quot;;[Magenta]&quot;Err&quot;;[Blue]&quot;OK&quot;"/>
    <numFmt numFmtId="180" formatCode="General\ &quot;.&quot;"/>
    <numFmt numFmtId="181" formatCode="#,##0_);[Red]\(#,##0\);\-_)"/>
    <numFmt numFmtId="182" formatCode="0.0_)%;[Red]\(0.0%\);0.0_)%"/>
    <numFmt numFmtId="183" formatCode="\+\ #,##0.0_);\-\ #,##0.0_)"/>
  </numFmts>
  <fonts count="118">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6"/>
      <color theme="1"/>
      <name val="Arial"/>
      <family val="2"/>
    </font>
    <font>
      <b/>
      <sz val="14"/>
      <color theme="1"/>
      <name val="Arial"/>
      <family val="2"/>
    </font>
    <font>
      <i/>
      <sz val="10"/>
      <color theme="1"/>
      <name val="Arial"/>
      <family val="2"/>
    </font>
    <font>
      <sz val="11"/>
      <color theme="1"/>
      <name val="Arial"/>
      <family val="2"/>
    </font>
    <font>
      <b/>
      <sz val="11"/>
      <name val="Arial"/>
      <family val="2"/>
    </font>
    <font>
      <i/>
      <sz val="11"/>
      <color theme="1"/>
      <name val="Arial"/>
      <family val="2"/>
    </font>
    <font>
      <b/>
      <sz val="10"/>
      <name val="Arial"/>
      <family val="2"/>
    </font>
    <font>
      <i/>
      <sz val="10"/>
      <name val="Arial"/>
      <family val="2"/>
    </font>
    <font>
      <sz val="11"/>
      <name val="Arial"/>
      <family val="2"/>
    </font>
    <font>
      <i/>
      <sz val="11"/>
      <name val="Arial"/>
      <family val="2"/>
    </font>
    <font>
      <sz val="10"/>
      <color theme="1"/>
      <name val="Calibri"/>
      <family val="2"/>
      <scheme val="minor"/>
    </font>
    <font>
      <b/>
      <sz val="14"/>
      <name val="Arial"/>
      <family val="2"/>
    </font>
    <font>
      <i/>
      <sz val="11"/>
      <color rgb="FFFF0000"/>
      <name val="Arial"/>
      <family val="2"/>
    </font>
    <font>
      <sz val="10"/>
      <name val="Arial"/>
      <family val="2"/>
    </font>
    <font>
      <b/>
      <sz val="10"/>
      <name val="Verdana"/>
      <family val="2"/>
    </font>
    <font>
      <i/>
      <sz val="10"/>
      <name val="Verdana"/>
      <family val="2"/>
    </font>
    <font>
      <i/>
      <sz val="11"/>
      <color theme="1"/>
      <name val="Calibri"/>
      <family val="2"/>
      <scheme val="minor"/>
    </font>
    <font>
      <sz val="10"/>
      <name val="Verdana"/>
      <family val="2"/>
    </font>
    <font>
      <sz val="9"/>
      <color theme="1"/>
      <name val="Verdana"/>
      <family val="2"/>
    </font>
    <font>
      <i/>
      <sz val="9"/>
      <color theme="1"/>
      <name val="Verdana"/>
      <family val="2"/>
    </font>
    <font>
      <i/>
      <sz val="11"/>
      <name val="Calibri"/>
      <family val="2"/>
      <scheme val="minor"/>
    </font>
    <font>
      <b/>
      <sz val="10"/>
      <color indexed="8"/>
      <name val="Verdana"/>
      <family val="2"/>
    </font>
    <font>
      <b/>
      <sz val="10"/>
      <color indexed="63"/>
      <name val="Verdana"/>
      <family val="2"/>
    </font>
    <font>
      <b/>
      <sz val="9"/>
      <color theme="1"/>
      <name val="Verdana"/>
      <family val="2"/>
    </font>
    <font>
      <b/>
      <sz val="11"/>
      <name val="Calibri"/>
      <family val="2"/>
      <scheme val="minor"/>
    </font>
    <font>
      <b/>
      <sz val="9"/>
      <name val="Verdana"/>
      <family val="2"/>
    </font>
    <font>
      <sz val="11"/>
      <color theme="0" tint="-0.14999847407452621"/>
      <name val="Calibri"/>
      <family val="2"/>
      <scheme val="minor"/>
    </font>
    <font>
      <sz val="8"/>
      <color indexed="81"/>
      <name val="Tahoma"/>
      <family val="2"/>
    </font>
    <font>
      <b/>
      <sz val="8"/>
      <color indexed="81"/>
      <name val="Tahoma"/>
      <family val="2"/>
    </font>
    <font>
      <b/>
      <sz val="11"/>
      <color theme="1"/>
      <name val="Arial"/>
      <family val="2"/>
    </font>
    <font>
      <u/>
      <sz val="11"/>
      <color theme="1"/>
      <name val="Arial"/>
      <family val="2"/>
    </font>
    <font>
      <b/>
      <sz val="11"/>
      <color indexed="8"/>
      <name val="Arial"/>
      <family val="2"/>
    </font>
    <font>
      <sz val="11"/>
      <color indexed="8"/>
      <name val="Arial"/>
      <family val="2"/>
    </font>
    <font>
      <sz val="8"/>
      <color theme="1"/>
      <name val="Arial"/>
      <family val="2"/>
    </font>
    <font>
      <b/>
      <sz val="12"/>
      <color theme="1"/>
      <name val="Arial"/>
      <family val="2"/>
    </font>
    <font>
      <b/>
      <sz val="11"/>
      <color indexed="63"/>
      <name val="Arial"/>
      <family val="2"/>
    </font>
    <font>
      <vertAlign val="superscript"/>
      <sz val="11"/>
      <color theme="1"/>
      <name val="Arial"/>
      <family val="2"/>
    </font>
    <font>
      <sz val="11"/>
      <color rgb="FF000000"/>
      <name val="Arial"/>
      <family val="2"/>
    </font>
    <font>
      <i/>
      <sz val="11"/>
      <color rgb="FF000000"/>
      <name val="Arial"/>
      <family val="2"/>
    </font>
    <font>
      <sz val="11"/>
      <color theme="0" tint="-0.14999847407452621"/>
      <name val="Arial"/>
      <family val="2"/>
    </font>
    <font>
      <sz val="10"/>
      <color indexed="8"/>
      <name val="Arial"/>
      <family val="2"/>
    </font>
    <font>
      <sz val="10"/>
      <color theme="1"/>
      <name val="Arial"/>
      <family val="2"/>
    </font>
    <font>
      <b/>
      <i/>
      <sz val="11"/>
      <color theme="1"/>
      <name val="Calibri"/>
      <family val="2"/>
      <scheme val="minor"/>
    </font>
    <font>
      <b/>
      <i/>
      <sz val="11"/>
      <name val="Arial"/>
      <family val="2"/>
    </font>
    <font>
      <sz val="8"/>
      <color theme="1"/>
      <name val="Calibri"/>
      <family val="2"/>
      <scheme val="minor"/>
    </font>
    <font>
      <sz val="7"/>
      <color theme="1"/>
      <name val="Arial"/>
      <family val="2"/>
    </font>
    <font>
      <sz val="11"/>
      <color theme="9" tint="-0.249977111117893"/>
      <name val="Calibri"/>
      <family val="2"/>
      <scheme val="minor"/>
    </font>
    <font>
      <i/>
      <sz val="12"/>
      <color theme="1"/>
      <name val="Arial"/>
      <family val="2"/>
    </font>
    <font>
      <i/>
      <sz val="12"/>
      <color rgb="FFFF0000"/>
      <name val="Arial"/>
      <family val="2"/>
    </font>
    <font>
      <b/>
      <i/>
      <sz val="11"/>
      <color theme="1"/>
      <name val="Arial"/>
      <family val="2"/>
    </font>
    <font>
      <b/>
      <sz val="10"/>
      <color theme="1"/>
      <name val="Arial"/>
      <family val="2"/>
    </font>
    <font>
      <b/>
      <sz val="11"/>
      <color theme="0" tint="-0.14999847407452621"/>
      <name val="Calibri"/>
      <family val="2"/>
      <scheme val="minor"/>
    </font>
    <font>
      <b/>
      <sz val="11"/>
      <color theme="0" tint="-0.14999847407452621"/>
      <name val="Arial"/>
      <family val="2"/>
    </font>
    <font>
      <b/>
      <sz val="16"/>
      <color theme="1"/>
      <name val="Calibri"/>
      <family val="2"/>
      <scheme val="minor"/>
    </font>
    <font>
      <i/>
      <sz val="8"/>
      <color theme="1"/>
      <name val="Calibri"/>
      <family val="2"/>
      <scheme val="minor"/>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0"/>
      <color indexed="18"/>
      <name val="MS Sans Serif"/>
      <family val="2"/>
    </font>
    <font>
      <sz val="11"/>
      <name val="Times New Roman"/>
      <family val="1"/>
    </font>
    <font>
      <i/>
      <sz val="11"/>
      <color indexed="23"/>
      <name val="Calibri"/>
      <family val="2"/>
    </font>
    <font>
      <b/>
      <sz val="8"/>
      <color indexed="12"/>
      <name val="Arial"/>
      <family val="2"/>
    </font>
    <font>
      <b/>
      <sz val="12"/>
      <color indexed="8"/>
      <name val="Arial"/>
      <family val="2"/>
    </font>
    <font>
      <b/>
      <sz val="10.5"/>
      <color indexed="8"/>
      <name val="Arial"/>
      <family val="2"/>
    </font>
    <font>
      <sz val="10"/>
      <color indexed="12"/>
      <name val="Arial"/>
      <family val="2"/>
    </font>
    <font>
      <sz val="11"/>
      <color indexed="17"/>
      <name val="Calibri"/>
      <family val="2"/>
    </font>
    <font>
      <b/>
      <sz val="8"/>
      <name val="Arial"/>
      <family val="2"/>
    </font>
    <font>
      <sz val="10"/>
      <color indexed="23"/>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name val="Univers 45 Light"/>
      <family val="2"/>
    </font>
    <font>
      <sz val="8"/>
      <color indexed="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1"/>
      <color indexed="8"/>
      <name val="Calibri"/>
      <family val="2"/>
    </font>
    <font>
      <sz val="11"/>
      <color indexed="10"/>
      <name val="Calibri"/>
      <family val="2"/>
    </font>
    <font>
      <sz val="11"/>
      <color rgb="FFFF0000"/>
      <name val="Calibri"/>
      <family val="2"/>
      <scheme val="minor"/>
    </font>
    <font>
      <sz val="9"/>
      <color theme="1"/>
      <name val="Arial"/>
      <family val="2"/>
    </font>
    <font>
      <sz val="9"/>
      <color theme="1"/>
      <name val="Calibri"/>
      <family val="2"/>
      <scheme val="minor"/>
    </font>
    <font>
      <vertAlign val="superscript"/>
      <sz val="9"/>
      <color theme="1"/>
      <name val="Arial"/>
      <family val="2"/>
    </font>
    <font>
      <vertAlign val="superscript"/>
      <sz val="11"/>
      <color theme="1"/>
      <name val="Calibri"/>
      <family val="2"/>
      <scheme val="minor"/>
    </font>
    <font>
      <b/>
      <u/>
      <sz val="11"/>
      <color theme="1"/>
      <name val="Calibri"/>
      <family val="2"/>
      <scheme val="minor"/>
    </font>
    <font>
      <sz val="11"/>
      <color rgb="FF000000"/>
      <name val="Calibri"/>
      <family val="2"/>
    </font>
    <font>
      <sz val="11"/>
      <color rgb="FF1F497D"/>
      <name val="Calibri"/>
      <family val="2"/>
      <scheme val="minor"/>
    </font>
    <font>
      <i/>
      <sz val="11"/>
      <color rgb="FF1F497D"/>
      <name val="Calibri"/>
      <family val="2"/>
      <scheme val="minor"/>
    </font>
    <font>
      <i/>
      <sz val="11"/>
      <color rgb="FFFF0000"/>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rgb="FFFFFFFF"/>
        <bgColor indexed="64"/>
      </patternFill>
    </fill>
  </fills>
  <borders count="19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right style="hair">
        <color auto="1"/>
      </right>
      <top/>
      <bottom/>
      <diagonal/>
    </border>
    <border>
      <left style="hair">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auto="1"/>
      </left>
      <right/>
      <top style="hair">
        <color auto="1"/>
      </top>
      <bottom style="thin">
        <color indexed="64"/>
      </bottom>
      <diagonal/>
    </border>
    <border>
      <left style="hair">
        <color auto="1"/>
      </left>
      <right/>
      <top/>
      <bottom style="hair">
        <color auto="1"/>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auto="1"/>
      </left>
      <right style="medium">
        <color indexed="64"/>
      </right>
      <top/>
      <bottom style="hair">
        <color auto="1"/>
      </bottom>
      <diagonal/>
    </border>
    <border>
      <left style="hair">
        <color auto="1"/>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diagonal/>
    </border>
    <border>
      <left/>
      <right style="thin">
        <color indexed="64"/>
      </right>
      <top/>
      <bottom style="hair">
        <color auto="1"/>
      </bottom>
      <diagonal/>
    </border>
    <border>
      <left/>
      <right style="thin">
        <color indexed="64"/>
      </right>
      <top/>
      <bottom/>
      <diagonal/>
    </border>
    <border>
      <left/>
      <right style="hair">
        <color auto="1"/>
      </right>
      <top style="medium">
        <color indexed="64"/>
      </top>
      <bottom style="medium">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style="thin">
        <color indexed="64"/>
      </right>
      <top/>
      <bottom/>
      <diagonal/>
    </border>
    <border>
      <left style="hair">
        <color auto="1"/>
      </left>
      <right/>
      <top/>
      <bottom/>
      <diagonal/>
    </border>
    <border>
      <left style="hair">
        <color auto="1"/>
      </left>
      <right style="medium">
        <color indexed="64"/>
      </right>
      <top/>
      <bottom/>
      <diagonal/>
    </border>
    <border>
      <left style="hair">
        <color auto="1"/>
      </left>
      <right style="hair">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right/>
      <top style="medium">
        <color theme="1"/>
      </top>
      <bottom/>
      <diagonal/>
    </border>
    <border>
      <left style="thin">
        <color theme="1"/>
      </left>
      <right/>
      <top/>
      <bottom style="medium">
        <color theme="1"/>
      </bottom>
      <diagonal/>
    </border>
    <border>
      <left/>
      <right/>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bottom style="thin">
        <color indexed="64"/>
      </bottom>
      <diagonal/>
    </border>
    <border>
      <left style="medium">
        <color indexed="64"/>
      </left>
      <right/>
      <top style="hair">
        <color auto="1"/>
      </top>
      <bottom style="hair">
        <color auto="1"/>
      </bottom>
      <diagonal/>
    </border>
    <border>
      <left/>
      <right style="medium">
        <color indexed="64"/>
      </right>
      <top/>
      <bottom style="thin">
        <color indexed="64"/>
      </bottom>
      <diagonal/>
    </border>
    <border>
      <left/>
      <right style="medium">
        <color indexed="64"/>
      </right>
      <top style="hair">
        <color auto="1"/>
      </top>
      <bottom style="hair">
        <color auto="1"/>
      </bottom>
      <diagonal/>
    </border>
    <border>
      <left style="thin">
        <color indexed="64"/>
      </left>
      <right style="medium">
        <color indexed="64"/>
      </right>
      <top/>
      <bottom/>
      <diagonal/>
    </border>
    <border>
      <left style="thin">
        <color theme="1"/>
      </left>
      <right/>
      <top/>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auto="1"/>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
      <left style="medium">
        <color indexed="64"/>
      </left>
      <right style="hair">
        <color indexed="64"/>
      </right>
      <top style="hair">
        <color auto="1"/>
      </top>
      <bottom style="hair">
        <color auto="1"/>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hair">
        <color indexed="64"/>
      </left>
      <right style="hair">
        <color indexed="64"/>
      </right>
      <top style="hair">
        <color indexed="64"/>
      </top>
      <bottom style="hair">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double">
        <color indexed="64"/>
      </left>
      <right/>
      <top/>
      <bottom style="double">
        <color indexed="64"/>
      </bottom>
      <diagonal/>
    </border>
    <border>
      <left/>
      <right/>
      <top style="thin">
        <color indexed="62"/>
      </top>
      <bottom style="double">
        <color indexed="62"/>
      </bottom>
      <diagonal/>
    </border>
    <border>
      <left style="thin">
        <color auto="1"/>
      </left>
      <right style="thin">
        <color auto="1"/>
      </right>
      <top style="thin">
        <color auto="1"/>
      </top>
      <bottom/>
      <diagonal/>
    </border>
    <border>
      <left/>
      <right/>
      <top style="thin">
        <color indexed="64"/>
      </top>
      <bottom/>
      <diagonal/>
    </border>
  </borders>
  <cellStyleXfs count="379">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2" fillId="0" borderId="169">
      <alignment vertical="center"/>
      <protection locked="0"/>
    </xf>
    <xf numFmtId="175" fontId="62" fillId="0" borderId="169">
      <alignment horizontal="right" vertical="center"/>
      <protection locked="0"/>
    </xf>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0" borderId="170" applyNumberFormat="0" applyAlignment="0" applyProtection="0"/>
    <xf numFmtId="0" fontId="65" fillId="0" borderId="0" applyNumberFormat="0" applyAlignment="0" applyProtection="0"/>
    <xf numFmtId="0" fontId="66" fillId="0" borderId="0" applyNumberFormat="0" applyAlignment="0" applyProtection="0"/>
    <xf numFmtId="0" fontId="65" fillId="0" borderId="171" applyNumberFormat="0" applyAlignment="0" applyProtection="0"/>
    <xf numFmtId="0" fontId="67" fillId="32" borderId="172" applyNumberFormat="0" applyFont="0" applyAlignment="0" applyProtection="0"/>
    <xf numFmtId="0" fontId="67" fillId="19" borderId="172" applyNumberFormat="0" applyFont="0" applyAlignment="0" applyProtection="0"/>
    <xf numFmtId="0" fontId="67" fillId="33" borderId="172" applyNumberFormat="0" applyFont="0" applyAlignment="0" applyProtection="0"/>
    <xf numFmtId="0" fontId="67" fillId="34" borderId="172" applyNumberFormat="0" applyFont="0" applyAlignment="0" applyProtection="0"/>
    <xf numFmtId="0" fontId="68" fillId="0" borderId="0" applyNumberFormat="0" applyFill="0" applyBorder="0" applyAlignment="0" applyProtection="0"/>
    <xf numFmtId="0" fontId="67" fillId="16" borderId="172" applyNumberFormat="0" applyFont="0" applyAlignment="0" applyProtection="0"/>
    <xf numFmtId="176" fontId="18" fillId="35" borderId="173" applyNumberFormat="0">
      <alignment vertical="center"/>
    </xf>
    <xf numFmtId="177" fontId="18" fillId="36" borderId="173" applyNumberFormat="0">
      <alignment vertical="center"/>
    </xf>
    <xf numFmtId="177" fontId="18" fillId="36" borderId="173" applyNumberFormat="0">
      <alignment vertical="center"/>
    </xf>
    <xf numFmtId="1" fontId="18" fillId="37" borderId="173" applyNumberFormat="0">
      <alignment vertical="center"/>
    </xf>
    <xf numFmtId="1" fontId="18" fillId="37" borderId="173" applyNumberFormat="0">
      <alignment vertical="center"/>
    </xf>
    <xf numFmtId="176" fontId="18" fillId="37" borderId="173" applyNumberFormat="0">
      <alignment vertical="center"/>
    </xf>
    <xf numFmtId="176" fontId="18" fillId="37" borderId="173" applyNumberFormat="0">
      <alignment vertical="center"/>
    </xf>
    <xf numFmtId="176" fontId="18" fillId="38" borderId="173" applyNumberFormat="0">
      <alignment vertical="center"/>
    </xf>
    <xf numFmtId="176" fontId="18" fillId="38" borderId="173" applyNumberFormat="0">
      <alignment vertical="center"/>
    </xf>
    <xf numFmtId="3" fontId="18" fillId="0" borderId="173" applyNumberFormat="0">
      <alignment vertical="center"/>
    </xf>
    <xf numFmtId="3" fontId="18" fillId="0" borderId="173" applyNumberFormat="0">
      <alignment vertical="center"/>
    </xf>
    <xf numFmtId="176" fontId="18" fillId="35" borderId="173" applyNumberFormat="0">
      <alignment vertical="center"/>
    </xf>
    <xf numFmtId="0" fontId="18" fillId="35" borderId="173" applyNumberFormat="0">
      <alignment vertical="center"/>
    </xf>
    <xf numFmtId="0" fontId="18" fillId="35" borderId="173" applyNumberFormat="0">
      <alignment vertical="center"/>
    </xf>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6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72" fillId="38" borderId="176">
      <alignment horizontal="center"/>
    </xf>
    <xf numFmtId="0" fontId="72" fillId="41" borderId="177" applyNumberFormat="0"/>
    <xf numFmtId="37" fontId="62" fillId="0" borderId="88" applyNumberFormat="0">
      <alignment horizontal="centerContinuous" vertical="top" wrapText="1"/>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9" fontId="74" fillId="0" borderId="0" applyFill="0" applyBorder="0"/>
    <xf numFmtId="15" fontId="45" fillId="0" borderId="0" applyFill="0" applyBorder="0" applyProtection="0">
      <alignment horizontal="center"/>
    </xf>
    <xf numFmtId="180" fontId="75" fillId="39" borderId="1" applyAlignment="0" applyProtection="0"/>
    <xf numFmtId="181" fontId="76" fillId="0" borderId="0" applyNumberFormat="0" applyFill="0" applyBorder="0" applyAlignment="0" applyProtection="0"/>
    <xf numFmtId="181" fontId="77" fillId="34" borderId="178" applyAlignment="0">
      <protection locked="0"/>
    </xf>
    <xf numFmtId="182" fontId="45" fillId="0" borderId="0" applyFill="0" applyBorder="0" applyAlignment="0" applyProtection="0"/>
    <xf numFmtId="0" fontId="72" fillId="38" borderId="176">
      <alignment horizontal="center"/>
    </xf>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37" fontId="79" fillId="38" borderId="115" applyBorder="0" applyAlignment="0"/>
    <xf numFmtId="37" fontId="79" fillId="38" borderId="115" applyBorder="0" applyAlignment="0"/>
    <xf numFmtId="37" fontId="79" fillId="38" borderId="115" applyBorder="0" applyAlignment="0"/>
    <xf numFmtId="0" fontId="80" fillId="38" borderId="179" applyNumberFormat="0">
      <alignment vertical="center"/>
    </xf>
    <xf numFmtId="37" fontId="79" fillId="38" borderId="115" applyBorder="0" applyAlignment="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6" fontId="85" fillId="42" borderId="183" applyNumberFormat="0">
      <alignment vertical="center"/>
    </xf>
    <xf numFmtId="0" fontId="86" fillId="19" borderId="174" applyNumberFormat="0" applyAlignment="0" applyProtection="0"/>
    <xf numFmtId="37" fontId="87" fillId="0" borderId="64" applyNumberFormat="0" applyBorder="0" applyAlignment="0">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37" fontId="87" fillId="0" borderId="64" applyNumberFormat="0" applyBorder="0" applyAlignment="0">
      <protection locked="0"/>
    </xf>
    <xf numFmtId="37" fontId="87" fillId="0" borderId="64" applyNumberFormat="0" applyBorder="0" applyAlignment="0">
      <protection locked="0"/>
    </xf>
    <xf numFmtId="0" fontId="85" fillId="43" borderId="183" applyNumberFormat="0">
      <alignment vertical="center"/>
      <protection locked="0"/>
    </xf>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5" fillId="42" borderId="183" applyNumberFormat="0">
      <alignment vertical="center"/>
    </xf>
    <xf numFmtId="38" fontId="88" fillId="0" borderId="0"/>
    <xf numFmtId="38" fontId="89" fillId="0" borderId="0"/>
    <xf numFmtId="38" fontId="90" fillId="0" borderId="0"/>
    <xf numFmtId="38" fontId="91" fillId="0" borderId="0"/>
    <xf numFmtId="0" fontId="72" fillId="0" borderId="0"/>
    <xf numFmtId="0" fontId="72" fillId="0" borderId="0"/>
    <xf numFmtId="37" fontId="18" fillId="0" borderId="0" applyBorder="0" applyAlignment="0">
      <alignment horizontal="left"/>
      <protection locked="0"/>
    </xf>
    <xf numFmtId="37" fontId="18" fillId="0" borderId="0" applyBorder="0" applyAlignment="0">
      <alignment horizontal="left"/>
      <protection locked="0"/>
    </xf>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18" fillId="0" borderId="2" applyBorder="0">
      <alignment horizontal="center" vertical="center" wrapText="1"/>
    </xf>
    <xf numFmtId="0" fontId="85" fillId="35" borderId="185" applyNumberFormat="0">
      <alignment vertical="center"/>
      <protection locked="0"/>
    </xf>
    <xf numFmtId="0" fontId="93" fillId="35" borderId="185" applyFont="0">
      <protection locked="0"/>
    </xf>
    <xf numFmtId="0" fontId="94" fillId="0" borderId="0" applyBorder="0">
      <alignment horizontal="left" vertical="top"/>
    </xf>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18" fillId="0" borderId="0"/>
    <xf numFmtId="0" fontId="18" fillId="0" borderId="0"/>
    <xf numFmtId="0" fontId="18" fillId="0" borderId="0"/>
    <xf numFmtId="0" fontId="1"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40" fontId="97" fillId="45" borderId="0">
      <alignment horizontal="right"/>
    </xf>
    <xf numFmtId="0" fontId="98" fillId="45" borderId="0">
      <alignment horizontal="right"/>
    </xf>
    <xf numFmtId="0" fontId="99" fillId="45" borderId="94"/>
    <xf numFmtId="0" fontId="99" fillId="0" borderId="0" applyBorder="0">
      <alignment horizontal="centerContinuous"/>
    </xf>
    <xf numFmtId="0" fontId="100" fillId="0" borderId="0" applyBorder="0">
      <alignment horizontal="centerContinuous"/>
    </xf>
    <xf numFmtId="183" fontId="101"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0" fontId="18" fillId="38" borderId="66" applyBorder="0" applyAlignment="0">
      <alignment horizontal="center" vertical="top"/>
    </xf>
    <xf numFmtId="0" fontId="18" fillId="38" borderId="66" applyBorder="0" applyAlignment="0">
      <alignment horizontal="center" vertical="top"/>
    </xf>
    <xf numFmtId="0" fontId="102" fillId="0" borderId="0"/>
    <xf numFmtId="0" fontId="102" fillId="0" borderId="0"/>
    <xf numFmtId="0" fontId="102" fillId="0" borderId="0"/>
    <xf numFmtId="0" fontId="102" fillId="0" borderId="0"/>
    <xf numFmtId="176" fontId="103" fillId="46" borderId="0" applyNumberFormat="0">
      <alignment vertical="center"/>
    </xf>
    <xf numFmtId="0" fontId="104" fillId="0" borderId="0" applyNumberFormat="0" applyFill="0" applyBorder="0" applyAlignment="0" applyProtection="0"/>
    <xf numFmtId="49" fontId="11" fillId="36" borderId="187">
      <alignment horizontal="center" vertical="center" wrapText="1"/>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49" fontId="11" fillId="36" borderId="187">
      <alignment horizontal="center" vertical="center" wrapText="1"/>
    </xf>
    <xf numFmtId="49" fontId="11" fillId="36" borderId="187">
      <alignment horizontal="center" vertical="center" wrapText="1"/>
    </xf>
    <xf numFmtId="176" fontId="105" fillId="35" borderId="0">
      <alignment vertical="center"/>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8" fillId="0" borderId="2" applyBorder="0">
      <alignment horizontal="center" vertical="top" wrapText="1"/>
    </xf>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cellStyleXfs>
  <cellXfs count="933">
    <xf numFmtId="0" fontId="0" fillId="0" borderId="0" xfId="0"/>
    <xf numFmtId="0" fontId="0" fillId="0" borderId="0" xfId="0" applyBorder="1"/>
    <xf numFmtId="0" fontId="0" fillId="3" borderId="0" xfId="0" applyFill="1"/>
    <xf numFmtId="0" fontId="8" fillId="3" borderId="0" xfId="0" applyFont="1" applyFill="1" applyBorder="1"/>
    <xf numFmtId="0" fontId="8" fillId="3" borderId="0" xfId="0" applyFont="1" applyFill="1"/>
    <xf numFmtId="165" fontId="8" fillId="0" borderId="28" xfId="1" applyNumberFormat="1" applyFont="1" applyFill="1" applyBorder="1" applyAlignment="1" applyProtection="1">
      <alignment horizontal="center" vertical="center" wrapText="1"/>
      <protection locked="0"/>
    </xf>
    <xf numFmtId="165" fontId="8" fillId="0" borderId="30" xfId="1" applyNumberFormat="1" applyFont="1" applyFill="1" applyBorder="1" applyAlignment="1" applyProtection="1">
      <alignment horizontal="center" vertical="center" wrapText="1"/>
      <protection locked="0"/>
    </xf>
    <xf numFmtId="165" fontId="8" fillId="0" borderId="29" xfId="1" applyNumberFormat="1" applyFont="1" applyFill="1" applyBorder="1" applyAlignment="1" applyProtection="1">
      <alignment horizontal="center" wrapText="1"/>
      <protection locked="0"/>
    </xf>
    <xf numFmtId="165" fontId="8" fillId="0" borderId="28" xfId="1" applyNumberFormat="1" applyFont="1" applyFill="1" applyBorder="1" applyAlignment="1" applyProtection="1">
      <alignment horizontal="center" wrapText="1"/>
      <protection locked="0"/>
    </xf>
    <xf numFmtId="165" fontId="8" fillId="0" borderId="45" xfId="1" applyNumberFormat="1" applyFont="1" applyFill="1" applyBorder="1" applyAlignment="1" applyProtection="1">
      <alignment horizontal="right" vertical="center" wrapText="1"/>
      <protection locked="0"/>
    </xf>
    <xf numFmtId="165" fontId="8" fillId="0" borderId="6" xfId="1" applyNumberFormat="1" applyFont="1" applyFill="1" applyBorder="1" applyAlignment="1" applyProtection="1">
      <alignment horizontal="right" vertical="center" wrapText="1"/>
      <protection locked="0"/>
    </xf>
    <xf numFmtId="165" fontId="8" fillId="0" borderId="46" xfId="1" applyNumberFormat="1" applyFont="1" applyFill="1" applyBorder="1" applyAlignment="1" applyProtection="1">
      <alignment horizontal="right" vertical="center" wrapText="1"/>
      <protection locked="0"/>
    </xf>
    <xf numFmtId="0" fontId="2" fillId="4" borderId="0" xfId="0" applyFont="1" applyFill="1"/>
    <xf numFmtId="0" fontId="0" fillId="3" borderId="0" xfId="0" applyFill="1" applyBorder="1"/>
    <xf numFmtId="0" fontId="0" fillId="4" borderId="0" xfId="0" applyFill="1"/>
    <xf numFmtId="1" fontId="20" fillId="4" borderId="0" xfId="3" applyNumberFormat="1" applyFont="1" applyFill="1" applyBorder="1" applyAlignment="1">
      <alignment horizontal="center" vertical="top" wrapText="1"/>
    </xf>
    <xf numFmtId="0" fontId="20" fillId="4" borderId="43" xfId="3" applyFont="1" applyFill="1" applyBorder="1" applyAlignment="1">
      <alignment vertical="center" wrapText="1"/>
    </xf>
    <xf numFmtId="49" fontId="20" fillId="4" borderId="13" xfId="3" applyNumberFormat="1" applyFont="1" applyFill="1" applyBorder="1" applyAlignment="1">
      <alignment vertical="center" wrapText="1"/>
    </xf>
    <xf numFmtId="3" fontId="20" fillId="4" borderId="56" xfId="3" applyNumberFormat="1" applyFont="1" applyFill="1" applyBorder="1" applyAlignment="1">
      <alignment vertical="center" wrapText="1"/>
    </xf>
    <xf numFmtId="0" fontId="0" fillId="3" borderId="6" xfId="0" applyFill="1" applyBorder="1"/>
    <xf numFmtId="0" fontId="0" fillId="4" borderId="50" xfId="0" applyFill="1" applyBorder="1"/>
    <xf numFmtId="0" fontId="0" fillId="4" borderId="13" xfId="0" applyFill="1" applyBorder="1"/>
    <xf numFmtId="0" fontId="0" fillId="4" borderId="35" xfId="0" applyFill="1" applyBorder="1" applyAlignment="1"/>
    <xf numFmtId="0" fontId="0" fillId="4" borderId="67" xfId="0" applyFill="1" applyBorder="1" applyAlignment="1"/>
    <xf numFmtId="0" fontId="24" fillId="4" borderId="13" xfId="0" applyFont="1" applyFill="1" applyBorder="1" applyAlignment="1">
      <alignment vertical="top"/>
    </xf>
    <xf numFmtId="0" fontId="0" fillId="0" borderId="6" xfId="0" applyFill="1" applyBorder="1"/>
    <xf numFmtId="0" fontId="25" fillId="4" borderId="6" xfId="0" applyFont="1" applyFill="1" applyBorder="1" applyAlignment="1">
      <alignment vertical="top"/>
    </xf>
    <xf numFmtId="0" fontId="3" fillId="4" borderId="6" xfId="0" applyFont="1" applyFill="1" applyBorder="1"/>
    <xf numFmtId="0" fontId="26" fillId="3" borderId="68" xfId="0" applyFont="1" applyFill="1" applyBorder="1" applyAlignment="1">
      <alignment vertical="center"/>
    </xf>
    <xf numFmtId="0" fontId="26" fillId="3" borderId="69" xfId="0" applyFont="1" applyFill="1" applyBorder="1" applyAlignment="1">
      <alignment vertical="center"/>
    </xf>
    <xf numFmtId="0" fontId="26" fillId="3" borderId="70" xfId="0" applyFont="1" applyFill="1" applyBorder="1" applyAlignment="1">
      <alignment vertical="center"/>
    </xf>
    <xf numFmtId="0" fontId="26" fillId="4" borderId="68" xfId="0" applyFont="1" applyFill="1" applyBorder="1" applyAlignment="1">
      <alignment vertical="top" wrapText="1"/>
    </xf>
    <xf numFmtId="0" fontId="26" fillId="4" borderId="69" xfId="0" applyFont="1" applyFill="1" applyBorder="1" applyAlignment="1">
      <alignment vertical="top" wrapText="1"/>
    </xf>
    <xf numFmtId="0" fontId="26" fillId="4" borderId="69" xfId="0" applyFont="1" applyFill="1" applyBorder="1" applyAlignment="1">
      <alignment horizontal="left" vertical="top" wrapText="1"/>
    </xf>
    <xf numFmtId="0" fontId="26" fillId="4" borderId="70" xfId="0" applyFont="1" applyFill="1" applyBorder="1" applyAlignment="1">
      <alignment vertical="top" wrapText="1"/>
    </xf>
    <xf numFmtId="0" fontId="26" fillId="4" borderId="18" xfId="0" applyFont="1" applyFill="1" applyBorder="1" applyAlignment="1">
      <alignment vertical="top" wrapText="1"/>
    </xf>
    <xf numFmtId="0" fontId="26" fillId="3" borderId="72" xfId="0" applyFont="1" applyFill="1" applyBorder="1" applyAlignment="1">
      <alignment vertical="center"/>
    </xf>
    <xf numFmtId="0" fontId="26" fillId="4" borderId="6" xfId="0" applyFont="1" applyFill="1" applyBorder="1" applyAlignment="1">
      <alignment vertical="top" wrapText="1"/>
    </xf>
    <xf numFmtId="0" fontId="26" fillId="3" borderId="3" xfId="0" applyFont="1" applyFill="1" applyBorder="1" applyAlignment="1">
      <alignment vertical="center"/>
    </xf>
    <xf numFmtId="17" fontId="26" fillId="4" borderId="73" xfId="0" applyNumberFormat="1" applyFont="1" applyFill="1" applyBorder="1" applyAlignment="1">
      <alignment vertical="center"/>
    </xf>
    <xf numFmtId="17" fontId="26" fillId="4" borderId="69" xfId="0" applyNumberFormat="1" applyFont="1" applyFill="1" applyBorder="1" applyAlignment="1">
      <alignment vertical="center"/>
    </xf>
    <xf numFmtId="17" fontId="27" fillId="4" borderId="69" xfId="0" applyNumberFormat="1" applyFont="1" applyFill="1" applyBorder="1" applyAlignment="1">
      <alignment vertical="center"/>
    </xf>
    <xf numFmtId="17" fontId="28" fillId="4" borderId="69" xfId="0" applyNumberFormat="1" applyFont="1" applyFill="1" applyBorder="1" applyAlignment="1">
      <alignment wrapText="1"/>
    </xf>
    <xf numFmtId="17" fontId="28" fillId="4" borderId="69" xfId="0" applyNumberFormat="1" applyFont="1" applyFill="1" applyBorder="1" applyAlignment="1">
      <alignment horizontal="center" wrapText="1"/>
    </xf>
    <xf numFmtId="0" fontId="26" fillId="3" borderId="6" xfId="0" applyFont="1" applyFill="1" applyBorder="1" applyAlignment="1">
      <alignment vertical="center"/>
    </xf>
    <xf numFmtId="17" fontId="29" fillId="0" borderId="6" xfId="0" applyNumberFormat="1" applyFont="1" applyFill="1" applyBorder="1"/>
    <xf numFmtId="0" fontId="0" fillId="4" borderId="6" xfId="0" applyFill="1" applyBorder="1"/>
    <xf numFmtId="0" fontId="0" fillId="4" borderId="2" xfId="0" applyFill="1" applyBorder="1"/>
    <xf numFmtId="17" fontId="28" fillId="0" borderId="6" xfId="0" applyNumberFormat="1" applyFont="1" applyFill="1" applyBorder="1" applyAlignment="1">
      <alignment horizontal="center" wrapText="1"/>
    </xf>
    <xf numFmtId="0" fontId="0" fillId="4" borderId="1" xfId="0" applyFill="1" applyBorder="1"/>
    <xf numFmtId="0" fontId="0" fillId="3" borderId="60" xfId="0" applyFill="1" applyBorder="1"/>
    <xf numFmtId="0" fontId="0" fillId="3" borderId="61" xfId="0" applyFill="1" applyBorder="1"/>
    <xf numFmtId="0" fontId="3" fillId="3" borderId="61" xfId="0" applyFont="1" applyFill="1" applyBorder="1" applyAlignment="1">
      <alignment horizontal="left"/>
    </xf>
    <xf numFmtId="0" fontId="0" fillId="3" borderId="66" xfId="0" applyFill="1" applyBorder="1"/>
    <xf numFmtId="3" fontId="3" fillId="4" borderId="60" xfId="0" quotePrefix="1" applyNumberFormat="1" applyFont="1" applyFill="1" applyBorder="1" applyAlignment="1">
      <alignment horizontal="right" vertical="top"/>
    </xf>
    <xf numFmtId="3" fontId="3" fillId="4" borderId="61" xfId="3" quotePrefix="1" applyNumberFormat="1" applyFont="1" applyFill="1" applyBorder="1" applyAlignment="1">
      <alignment horizontal="right" vertical="top"/>
    </xf>
    <xf numFmtId="3" fontId="3" fillId="4" borderId="61" xfId="0" quotePrefix="1" applyNumberFormat="1" applyFont="1" applyFill="1" applyBorder="1" applyAlignment="1">
      <alignment horizontal="right" vertical="top"/>
    </xf>
    <xf numFmtId="167" fontId="0" fillId="4" borderId="74" xfId="1" applyNumberFormat="1" applyFont="1" applyFill="1" applyBorder="1"/>
    <xf numFmtId="169" fontId="0" fillId="4" borderId="66" xfId="0" applyNumberFormat="1" applyFont="1" applyFill="1" applyBorder="1"/>
    <xf numFmtId="1" fontId="0" fillId="4" borderId="61" xfId="0" applyNumberFormat="1" applyFill="1" applyBorder="1"/>
    <xf numFmtId="1" fontId="3" fillId="4" borderId="74" xfId="3" applyNumberFormat="1" applyFont="1" applyFill="1" applyBorder="1" applyAlignment="1">
      <alignment vertical="top"/>
    </xf>
    <xf numFmtId="170" fontId="3" fillId="4" borderId="61" xfId="3" quotePrefix="1" applyNumberFormat="1" applyFont="1" applyFill="1" applyBorder="1" applyAlignment="1">
      <alignment horizontal="right" vertical="top"/>
    </xf>
    <xf numFmtId="170" fontId="3" fillId="4" borderId="66" xfId="3" quotePrefix="1" applyNumberFormat="1" applyFont="1" applyFill="1" applyBorder="1" applyAlignment="1">
      <alignment horizontal="right" vertical="top"/>
    </xf>
    <xf numFmtId="3" fontId="3" fillId="4" borderId="66" xfId="3" quotePrefix="1" applyNumberFormat="1" applyFont="1" applyFill="1" applyBorder="1" applyAlignment="1">
      <alignment horizontal="right" vertical="top"/>
    </xf>
    <xf numFmtId="165" fontId="22" fillId="4" borderId="74" xfId="1" applyNumberFormat="1" applyFont="1" applyFill="1" applyBorder="1"/>
    <xf numFmtId="165" fontId="22" fillId="4" borderId="61" xfId="1" applyNumberFormat="1" applyFont="1" applyFill="1" applyBorder="1"/>
    <xf numFmtId="165" fontId="3" fillId="4" borderId="61" xfId="1" applyNumberFormat="1" applyFont="1" applyFill="1" applyBorder="1"/>
    <xf numFmtId="165" fontId="0" fillId="4" borderId="61" xfId="0" applyNumberFormat="1" applyFill="1" applyBorder="1"/>
    <xf numFmtId="165" fontId="0" fillId="4" borderId="61" xfId="1" applyNumberFormat="1" applyFont="1" applyFill="1" applyBorder="1"/>
    <xf numFmtId="3" fontId="3" fillId="4" borderId="61" xfId="0" applyNumberFormat="1" applyFont="1" applyFill="1" applyBorder="1"/>
    <xf numFmtId="165" fontId="0" fillId="4" borderId="6" xfId="1" applyNumberFormat="1" applyFont="1" applyFill="1" applyBorder="1"/>
    <xf numFmtId="1" fontId="0" fillId="4" borderId="6" xfId="0" applyNumberFormat="1" applyFill="1" applyBorder="1"/>
    <xf numFmtId="165" fontId="3" fillId="0" borderId="6" xfId="1" applyNumberFormat="1" applyFont="1" applyFill="1" applyBorder="1"/>
    <xf numFmtId="0" fontId="0" fillId="3" borderId="45" xfId="0" applyFill="1" applyBorder="1"/>
    <xf numFmtId="0" fontId="3" fillId="3" borderId="6" xfId="0" applyFont="1" applyFill="1" applyBorder="1" applyAlignment="1">
      <alignment horizontal="left"/>
    </xf>
    <xf numFmtId="0" fontId="0" fillId="3" borderId="2" xfId="0" applyFill="1" applyBorder="1"/>
    <xf numFmtId="3" fontId="3" fillId="4" borderId="45" xfId="0" quotePrefix="1" applyNumberFormat="1" applyFont="1" applyFill="1" applyBorder="1" applyAlignment="1">
      <alignment horizontal="right" vertical="top"/>
    </xf>
    <xf numFmtId="3" fontId="3" fillId="4" borderId="6" xfId="3" quotePrefix="1" applyNumberFormat="1" applyFont="1" applyFill="1" applyBorder="1" applyAlignment="1">
      <alignment horizontal="right" vertical="top"/>
    </xf>
    <xf numFmtId="3" fontId="3" fillId="4" borderId="6" xfId="0" quotePrefix="1" applyNumberFormat="1" applyFont="1" applyFill="1" applyBorder="1" applyAlignment="1">
      <alignment horizontal="right" vertical="top"/>
    </xf>
    <xf numFmtId="167" fontId="0" fillId="4" borderId="3" xfId="1" applyNumberFormat="1" applyFont="1" applyFill="1" applyBorder="1"/>
    <xf numFmtId="169" fontId="0" fillId="4" borderId="2" xfId="0" applyNumberFormat="1" applyFont="1" applyFill="1" applyBorder="1"/>
    <xf numFmtId="1" fontId="3" fillId="4" borderId="3" xfId="3" applyNumberFormat="1" applyFont="1" applyFill="1" applyBorder="1" applyAlignment="1">
      <alignment vertical="top"/>
    </xf>
    <xf numFmtId="170" fontId="3" fillId="4" borderId="6" xfId="3" quotePrefix="1" applyNumberFormat="1" applyFont="1" applyFill="1" applyBorder="1" applyAlignment="1">
      <alignment horizontal="right" vertical="top"/>
    </xf>
    <xf numFmtId="170" fontId="3" fillId="4" borderId="2" xfId="3" quotePrefix="1" applyNumberFormat="1" applyFont="1" applyFill="1" applyBorder="1" applyAlignment="1">
      <alignment horizontal="right" vertical="top"/>
    </xf>
    <xf numFmtId="165" fontId="22" fillId="4" borderId="3" xfId="1" applyNumberFormat="1" applyFont="1" applyFill="1" applyBorder="1"/>
    <xf numFmtId="165" fontId="22" fillId="4" borderId="6" xfId="1" applyNumberFormat="1" applyFont="1" applyFill="1" applyBorder="1"/>
    <xf numFmtId="165" fontId="3" fillId="4" borderId="6" xfId="1" applyNumberFormat="1" applyFont="1" applyFill="1" applyBorder="1"/>
    <xf numFmtId="3" fontId="3" fillId="4" borderId="6" xfId="0" applyNumberFormat="1" applyFont="1" applyFill="1" applyBorder="1"/>
    <xf numFmtId="3" fontId="0" fillId="4" borderId="45" xfId="0" applyNumberFormat="1" applyFill="1" applyBorder="1"/>
    <xf numFmtId="3" fontId="0" fillId="4" borderId="6" xfId="0" applyNumberFormat="1" applyFill="1" applyBorder="1"/>
    <xf numFmtId="169" fontId="0" fillId="4" borderId="3" xfId="0" applyNumberFormat="1" applyFill="1" applyBorder="1"/>
    <xf numFmtId="169" fontId="0" fillId="4" borderId="2" xfId="0" applyNumberFormat="1" applyFill="1" applyBorder="1"/>
    <xf numFmtId="3" fontId="0" fillId="4" borderId="3" xfId="0" applyNumberFormat="1" applyFill="1" applyBorder="1"/>
    <xf numFmtId="169" fontId="0" fillId="4" borderId="6" xfId="0" applyNumberFormat="1" applyFill="1" applyBorder="1"/>
    <xf numFmtId="3" fontId="0" fillId="0" borderId="6" xfId="0" applyNumberFormat="1" applyFill="1" applyBorder="1"/>
    <xf numFmtId="167" fontId="3" fillId="4" borderId="6" xfId="1" applyNumberFormat="1" applyFont="1" applyFill="1" applyBorder="1"/>
    <xf numFmtId="3" fontId="22" fillId="4" borderId="6" xfId="0" applyNumberFormat="1" applyFont="1" applyFill="1" applyBorder="1"/>
    <xf numFmtId="3" fontId="3" fillId="4" borderId="6" xfId="3" applyNumberFormat="1" applyFont="1" applyFill="1" applyBorder="1"/>
    <xf numFmtId="0" fontId="0" fillId="3" borderId="57" xfId="0" applyFill="1" applyBorder="1"/>
    <xf numFmtId="0" fontId="0" fillId="3" borderId="58" xfId="0" applyFill="1" applyBorder="1"/>
    <xf numFmtId="0" fontId="3" fillId="3" borderId="58" xfId="0" applyFont="1" applyFill="1" applyBorder="1" applyAlignment="1">
      <alignment horizontal="left"/>
    </xf>
    <xf numFmtId="0" fontId="0" fillId="3" borderId="63" xfId="0" applyFill="1" applyBorder="1"/>
    <xf numFmtId="3" fontId="3" fillId="4" borderId="57" xfId="0" quotePrefix="1" applyNumberFormat="1" applyFont="1" applyFill="1" applyBorder="1" applyAlignment="1">
      <alignment horizontal="right" vertical="top"/>
    </xf>
    <xf numFmtId="3" fontId="3" fillId="4" borderId="58" xfId="3" quotePrefix="1" applyNumberFormat="1" applyFont="1" applyFill="1" applyBorder="1" applyAlignment="1">
      <alignment horizontal="right" vertical="top"/>
    </xf>
    <xf numFmtId="3" fontId="3" fillId="4" borderId="58" xfId="0" quotePrefix="1" applyNumberFormat="1" applyFont="1" applyFill="1" applyBorder="1" applyAlignment="1">
      <alignment horizontal="right" vertical="top"/>
    </xf>
    <xf numFmtId="167" fontId="0" fillId="4" borderId="67" xfId="1" applyNumberFormat="1" applyFont="1" applyFill="1" applyBorder="1"/>
    <xf numFmtId="169" fontId="0" fillId="4" borderId="63" xfId="0" applyNumberFormat="1" applyFont="1" applyFill="1" applyBorder="1"/>
    <xf numFmtId="1" fontId="3" fillId="4" borderId="67" xfId="3" applyNumberFormat="1" applyFont="1" applyFill="1" applyBorder="1" applyAlignment="1">
      <alignment vertical="top"/>
    </xf>
    <xf numFmtId="170" fontId="3" fillId="4" borderId="58" xfId="3" quotePrefix="1" applyNumberFormat="1" applyFont="1" applyFill="1" applyBorder="1" applyAlignment="1">
      <alignment horizontal="right" vertical="top"/>
    </xf>
    <xf numFmtId="170" fontId="3" fillId="4" borderId="63" xfId="3" quotePrefix="1" applyNumberFormat="1" applyFont="1" applyFill="1" applyBorder="1" applyAlignment="1">
      <alignment horizontal="right" vertical="top"/>
    </xf>
    <xf numFmtId="0" fontId="22" fillId="3" borderId="61" xfId="0" applyFont="1" applyFill="1" applyBorder="1" applyAlignment="1">
      <alignment horizontal="center"/>
    </xf>
    <xf numFmtId="0" fontId="19" fillId="3" borderId="61" xfId="0" applyFont="1" applyFill="1" applyBorder="1"/>
    <xf numFmtId="0" fontId="19" fillId="4" borderId="61" xfId="0" applyFont="1" applyFill="1" applyBorder="1"/>
    <xf numFmtId="0" fontId="19" fillId="4" borderId="66" xfId="0" applyFont="1" applyFill="1" applyBorder="1"/>
    <xf numFmtId="0" fontId="19" fillId="4" borderId="2" xfId="0" applyFont="1" applyFill="1" applyBorder="1"/>
    <xf numFmtId="0" fontId="19" fillId="3" borderId="6" xfId="0" applyFont="1" applyFill="1" applyBorder="1"/>
    <xf numFmtId="3" fontId="22" fillId="4" borderId="65" xfId="0" applyNumberFormat="1" applyFont="1" applyFill="1" applyBorder="1"/>
    <xf numFmtId="3" fontId="22" fillId="4" borderId="48" xfId="0" applyNumberFormat="1" applyFont="1" applyFill="1" applyBorder="1"/>
    <xf numFmtId="3" fontId="31" fillId="4" borderId="75" xfId="0" applyNumberFormat="1" applyFont="1" applyFill="1" applyBorder="1"/>
    <xf numFmtId="0" fontId="19" fillId="0" borderId="0" xfId="0" applyFont="1" applyFill="1" applyBorder="1"/>
    <xf numFmtId="0" fontId="0" fillId="0" borderId="0" xfId="0" applyFill="1"/>
    <xf numFmtId="0" fontId="34" fillId="3" borderId="0" xfId="0" applyFont="1" applyFill="1"/>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6" fontId="37" fillId="0" borderId="12" xfId="0" applyNumberFormat="1" applyFont="1" applyFill="1" applyBorder="1" applyAlignment="1" applyProtection="1">
      <alignment wrapText="1"/>
      <protection locked="0"/>
    </xf>
    <xf numFmtId="0" fontId="8" fillId="3" borderId="0" xfId="0" applyFont="1" applyFill="1" applyAlignment="1">
      <alignment wrapText="1"/>
    </xf>
    <xf numFmtId="0" fontId="8" fillId="4" borderId="0" xfId="0" applyFont="1" applyFill="1"/>
    <xf numFmtId="17" fontId="3" fillId="0" borderId="6" xfId="0" applyNumberFormat="1" applyFont="1" applyFill="1" applyBorder="1"/>
    <xf numFmtId="168" fontId="13" fillId="0" borderId="37" xfId="0" applyNumberFormat="1" applyFont="1" applyFill="1" applyBorder="1" applyAlignment="1" applyProtection="1">
      <alignment horizontal="center" vertical="center"/>
      <protection locked="0"/>
    </xf>
    <xf numFmtId="168" fontId="9" fillId="0" borderId="37"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165" fontId="8" fillId="0" borderId="33" xfId="1" applyNumberFormat="1" applyFont="1" applyFill="1" applyBorder="1" applyAlignment="1" applyProtection="1">
      <alignment horizontal="center" wrapText="1"/>
      <protection locked="0"/>
    </xf>
    <xf numFmtId="165" fontId="8" fillId="0" borderId="34" xfId="1" applyNumberFormat="1" applyFont="1" applyFill="1" applyBorder="1" applyAlignment="1" applyProtection="1">
      <alignment horizontal="center" wrapText="1"/>
      <protection locked="0"/>
    </xf>
    <xf numFmtId="0" fontId="6" fillId="2" borderId="37"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0" fillId="3" borderId="0" xfId="0" applyFill="1" applyProtection="1"/>
    <xf numFmtId="0" fontId="5" fillId="3" borderId="0" xfId="0" applyFont="1" applyFill="1" applyBorder="1" applyAlignment="1" applyProtection="1">
      <alignment horizontal="left" vertical="center"/>
    </xf>
    <xf numFmtId="0" fontId="0" fillId="6" borderId="37" xfId="0" applyFill="1" applyBorder="1" applyProtection="1"/>
    <xf numFmtId="0" fontId="8" fillId="3" borderId="0" xfId="0" applyFont="1" applyFill="1" applyProtection="1"/>
    <xf numFmtId="0" fontId="10" fillId="3" borderId="0" xfId="0" applyFont="1" applyFill="1" applyProtection="1"/>
    <xf numFmtId="0" fontId="0" fillId="5" borderId="37" xfId="0" applyFill="1" applyBorder="1" applyProtection="1"/>
    <xf numFmtId="0" fontId="0" fillId="3" borderId="0" xfId="0" applyFill="1" applyBorder="1" applyProtection="1"/>
    <xf numFmtId="0" fontId="6" fillId="3" borderId="0" xfId="0" applyFont="1" applyFill="1" applyProtection="1"/>
    <xf numFmtId="0" fontId="6" fillId="3" borderId="0" xfId="0" applyFont="1" applyFill="1" applyBorder="1" applyProtection="1"/>
    <xf numFmtId="0" fontId="7" fillId="3" borderId="0" xfId="0" applyFont="1" applyFill="1" applyBorder="1" applyProtection="1"/>
    <xf numFmtId="0" fontId="8" fillId="3" borderId="0" xfId="0" applyFont="1" applyFill="1" applyBorder="1" applyProtection="1"/>
    <xf numFmtId="0" fontId="12" fillId="2" borderId="26" xfId="0" applyFont="1" applyFill="1" applyBorder="1" applyAlignment="1" applyProtection="1">
      <alignment vertical="top" wrapText="1"/>
    </xf>
    <xf numFmtId="0" fontId="8" fillId="4" borderId="17" xfId="0" applyFont="1" applyFill="1" applyBorder="1" applyAlignment="1" applyProtection="1">
      <protection locked="0"/>
    </xf>
    <xf numFmtId="0" fontId="12" fillId="2" borderId="29" xfId="0" applyFont="1" applyFill="1" applyBorder="1" applyAlignment="1" applyProtection="1">
      <alignment vertical="top" wrapText="1"/>
    </xf>
    <xf numFmtId="165" fontId="8" fillId="2" borderId="28" xfId="1" applyNumberFormat="1" applyFont="1" applyFill="1" applyBorder="1" applyAlignment="1" applyProtection="1">
      <alignment horizontal="center" vertical="center" wrapText="1"/>
    </xf>
    <xf numFmtId="0" fontId="12" fillId="2" borderId="34" xfId="0" applyFont="1" applyFill="1" applyBorder="1" applyAlignment="1" applyProtection="1">
      <alignment vertical="top" wrapText="1"/>
    </xf>
    <xf numFmtId="165" fontId="8" fillId="2" borderId="33" xfId="1" applyNumberFormat="1" applyFont="1" applyFill="1" applyBorder="1" applyAlignment="1" applyProtection="1">
      <alignment horizontal="center" vertical="center" wrapText="1"/>
    </xf>
    <xf numFmtId="165" fontId="8" fillId="2" borderId="36" xfId="1" applyNumberFormat="1" applyFont="1" applyFill="1" applyBorder="1" applyAlignment="1" applyProtection="1">
      <alignment horizontal="center" vertical="center" wrapText="1"/>
    </xf>
    <xf numFmtId="0" fontId="11" fillId="3" borderId="0" xfId="0" applyFont="1" applyFill="1" applyBorder="1" applyAlignment="1" applyProtection="1">
      <alignment vertical="top" wrapText="1"/>
    </xf>
    <xf numFmtId="0" fontId="12" fillId="3" borderId="0" xfId="0" applyFont="1" applyFill="1" applyBorder="1" applyAlignment="1" applyProtection="1">
      <alignment vertical="top"/>
    </xf>
    <xf numFmtId="0" fontId="10" fillId="3" borderId="0" xfId="0" applyFont="1" applyFill="1" applyBorder="1" applyAlignment="1" applyProtection="1">
      <alignment horizontal="left" vertical="center" wrapText="1"/>
    </xf>
    <xf numFmtId="171" fontId="14" fillId="3" borderId="0" xfId="1" applyNumberFormat="1" applyFont="1" applyFill="1" applyBorder="1" applyAlignment="1" applyProtection="1">
      <alignment horizontal="right" wrapText="1"/>
    </xf>
    <xf numFmtId="0" fontId="12" fillId="3" borderId="0" xfId="0" applyFont="1" applyFill="1" applyBorder="1" applyAlignment="1" applyProtection="1">
      <alignment horizontal="center" wrapText="1"/>
    </xf>
    <xf numFmtId="0" fontId="12" fillId="3" borderId="0" xfId="0" applyFont="1" applyFill="1" applyBorder="1" applyAlignment="1" applyProtection="1">
      <alignment vertical="top" wrapText="1"/>
    </xf>
    <xf numFmtId="168" fontId="12" fillId="3" borderId="0" xfId="0" applyNumberFormat="1" applyFont="1" applyFill="1" applyBorder="1" applyAlignment="1" applyProtection="1">
      <alignment horizontal="right" wrapText="1"/>
    </xf>
    <xf numFmtId="168" fontId="10" fillId="3" borderId="0" xfId="0" applyNumberFormat="1" applyFont="1" applyFill="1" applyBorder="1" applyAlignment="1" applyProtection="1">
      <alignment horizontal="left" vertical="center" wrapText="1"/>
    </xf>
    <xf numFmtId="168" fontId="13" fillId="3" borderId="0"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top" wrapText="1"/>
    </xf>
    <xf numFmtId="168" fontId="8" fillId="3" borderId="0" xfId="0" applyNumberFormat="1" applyFont="1" applyFill="1" applyBorder="1" applyAlignment="1" applyProtection="1">
      <alignment horizontal="right" vertical="center" wrapText="1"/>
    </xf>
    <xf numFmtId="0" fontId="8"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12" fillId="2" borderId="0" xfId="0" applyFont="1" applyFill="1" applyBorder="1" applyAlignment="1" applyProtection="1">
      <alignment vertical="top" wrapText="1"/>
    </xf>
    <xf numFmtId="167" fontId="8" fillId="3" borderId="0" xfId="1" applyNumberFormat="1" applyFont="1" applyFill="1" applyBorder="1" applyAlignment="1" applyProtection="1">
      <alignment horizontal="center" wrapText="1"/>
    </xf>
    <xf numFmtId="0" fontId="12" fillId="2" borderId="1" xfId="0" applyFont="1" applyFill="1" applyBorder="1" applyAlignment="1" applyProtection="1">
      <alignment vertical="top" wrapText="1"/>
    </xf>
    <xf numFmtId="165" fontId="8" fillId="2" borderId="28" xfId="1" applyNumberFormat="1" applyFont="1" applyFill="1" applyBorder="1" applyAlignment="1" applyProtection="1">
      <alignment horizontal="center" wrapText="1"/>
    </xf>
    <xf numFmtId="165" fontId="8" fillId="3" borderId="0" xfId="1" applyNumberFormat="1" applyFont="1" applyFill="1" applyBorder="1" applyAlignment="1" applyProtection="1">
      <alignment horizontal="center" wrapText="1"/>
    </xf>
    <xf numFmtId="0" fontId="12" fillId="2" borderId="35" xfId="0" applyFont="1" applyFill="1" applyBorder="1" applyAlignment="1" applyProtection="1">
      <alignment vertical="top" wrapText="1"/>
    </xf>
    <xf numFmtId="165" fontId="8" fillId="2" borderId="33" xfId="1" applyNumberFormat="1" applyFont="1" applyFill="1" applyBorder="1" applyAlignment="1" applyProtection="1">
      <alignment horizontal="center" wrapText="1"/>
    </xf>
    <xf numFmtId="1" fontId="14" fillId="3" borderId="0" xfId="1" applyNumberFormat="1" applyFont="1" applyFill="1" applyBorder="1" applyAlignment="1" applyProtection="1">
      <alignment horizontal="right"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top" wrapText="1"/>
    </xf>
    <xf numFmtId="0" fontId="15" fillId="3" borderId="0" xfId="0" applyFont="1" applyFill="1" applyProtection="1"/>
    <xf numFmtId="0" fontId="16" fillId="3" borderId="0" xfId="0" applyFont="1" applyFill="1" applyBorder="1" applyAlignment="1" applyProtection="1">
      <alignment wrapText="1"/>
    </xf>
    <xf numFmtId="0" fontId="9" fillId="3" borderId="0" xfId="0" applyFont="1" applyFill="1" applyBorder="1" applyAlignment="1" applyProtection="1">
      <alignment horizontal="center" vertical="center" wrapText="1"/>
    </xf>
    <xf numFmtId="0" fontId="8" fillId="3" borderId="0" xfId="0" applyFont="1" applyFill="1" applyBorder="1" applyAlignment="1" applyProtection="1"/>
    <xf numFmtId="0" fontId="12" fillId="2" borderId="51" xfId="0" applyFont="1" applyFill="1" applyBorder="1" applyAlignment="1" applyProtection="1">
      <alignment vertical="top" wrapText="1"/>
    </xf>
    <xf numFmtId="167" fontId="8" fillId="3" borderId="0" xfId="1" applyNumberFormat="1" applyFont="1" applyFill="1" applyBorder="1" applyAlignment="1" applyProtection="1">
      <alignment horizontal="center" vertical="center" wrapText="1"/>
    </xf>
    <xf numFmtId="0" fontId="8" fillId="4" borderId="17" xfId="0" applyFont="1" applyFill="1" applyBorder="1" applyProtection="1">
      <protection locked="0"/>
    </xf>
    <xf numFmtId="0" fontId="12" fillId="2" borderId="3" xfId="0" applyFont="1" applyFill="1" applyBorder="1" applyAlignment="1" applyProtection="1">
      <alignment vertical="top" wrapText="1"/>
    </xf>
    <xf numFmtId="165" fontId="8" fillId="2" borderId="6" xfId="1"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right" vertical="center" wrapText="1"/>
    </xf>
    <xf numFmtId="0" fontId="12" fillId="2" borderId="67" xfId="0" applyFont="1" applyFill="1" applyBorder="1" applyAlignment="1" applyProtection="1">
      <alignment vertical="top" wrapText="1"/>
    </xf>
    <xf numFmtId="165" fontId="8" fillId="2" borderId="58" xfId="1" applyNumberFormat="1" applyFont="1" applyFill="1" applyBorder="1" applyAlignment="1" applyProtection="1">
      <alignment horizontal="center" vertical="center" wrapText="1"/>
    </xf>
    <xf numFmtId="165" fontId="8" fillId="2" borderId="63" xfId="1" applyNumberFormat="1" applyFont="1" applyFill="1" applyBorder="1" applyAlignment="1" applyProtection="1">
      <alignment horizontal="center" vertical="center" wrapText="1"/>
    </xf>
    <xf numFmtId="165" fontId="8" fillId="2" borderId="57" xfId="1" applyNumberFormat="1" applyFont="1" applyFill="1" applyBorder="1" applyAlignment="1" applyProtection="1">
      <alignment horizontal="center" vertical="center" wrapText="1"/>
    </xf>
    <xf numFmtId="165" fontId="8" fillId="2" borderId="59"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center" vertical="center" wrapText="1"/>
    </xf>
    <xf numFmtId="0" fontId="14" fillId="3" borderId="0" xfId="0" applyFont="1" applyFill="1" applyBorder="1" applyAlignment="1" applyProtection="1">
      <alignment horizontal="right" vertical="top" wrapText="1"/>
    </xf>
    <xf numFmtId="165" fontId="10" fillId="3" borderId="0"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vertical="center" wrapText="1"/>
    </xf>
    <xf numFmtId="1" fontId="10" fillId="3" borderId="0" xfId="1" applyNumberFormat="1" applyFont="1" applyFill="1" applyBorder="1" applyAlignment="1" applyProtection="1">
      <alignment horizontal="right" vertical="center" wrapText="1"/>
    </xf>
    <xf numFmtId="168" fontId="10" fillId="3" borderId="0" xfId="1" applyNumberFormat="1" applyFont="1" applyFill="1" applyBorder="1" applyAlignment="1" applyProtection="1">
      <alignment horizontal="right" vertical="center" wrapText="1"/>
    </xf>
    <xf numFmtId="168" fontId="9"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vertical="top" wrapText="1"/>
    </xf>
    <xf numFmtId="0" fontId="17" fillId="3" borderId="0"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2" fillId="2" borderId="28" xfId="0" applyFont="1" applyFill="1" applyBorder="1" applyAlignment="1" applyProtection="1">
      <alignment vertical="top" wrapText="1"/>
    </xf>
    <xf numFmtId="0" fontId="12" fillId="2" borderId="33" xfId="0" applyFont="1" applyFill="1" applyBorder="1" applyAlignment="1" applyProtection="1">
      <alignment vertical="top" wrapText="1"/>
    </xf>
    <xf numFmtId="165" fontId="13" fillId="2" borderId="28" xfId="1" applyNumberFormat="1" applyFont="1" applyFill="1" applyBorder="1" applyAlignment="1" applyProtection="1">
      <alignment vertical="top" wrapText="1"/>
    </xf>
    <xf numFmtId="165" fontId="13" fillId="2" borderId="33" xfId="1" applyNumberFormat="1" applyFont="1" applyFill="1" applyBorder="1" applyAlignment="1" applyProtection="1">
      <alignment vertical="top" wrapText="1"/>
    </xf>
    <xf numFmtId="165" fontId="14" fillId="2" borderId="33" xfId="1" applyNumberFormat="1" applyFont="1" applyFill="1" applyBorder="1" applyAlignment="1" applyProtection="1">
      <alignment vertical="top" wrapText="1"/>
    </xf>
    <xf numFmtId="165" fontId="8" fillId="2" borderId="68" xfId="1" applyNumberFormat="1" applyFont="1" applyFill="1" applyBorder="1" applyProtection="1"/>
    <xf numFmtId="165" fontId="8" fillId="2" borderId="69" xfId="1" applyNumberFormat="1" applyFont="1" applyFill="1" applyBorder="1" applyProtection="1"/>
    <xf numFmtId="165" fontId="8" fillId="2" borderId="71" xfId="1" applyNumberFormat="1" applyFont="1" applyFill="1" applyBorder="1" applyProtection="1"/>
    <xf numFmtId="1" fontId="0" fillId="0" borderId="0" xfId="1" applyNumberFormat="1" applyFont="1"/>
    <xf numFmtId="0" fontId="8" fillId="3" borderId="0" xfId="0" applyFont="1" applyFill="1" applyAlignment="1" applyProtection="1">
      <alignment horizontal="left"/>
    </xf>
    <xf numFmtId="0" fontId="0" fillId="3" borderId="0" xfId="0" applyFill="1" applyAlignment="1" applyProtection="1">
      <alignment horizontal="left"/>
    </xf>
    <xf numFmtId="0" fontId="34" fillId="3" borderId="0" xfId="0" applyFont="1" applyFill="1" applyProtection="1"/>
    <xf numFmtId="169" fontId="8" fillId="0" borderId="41" xfId="0"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right" vertical="center" wrapText="1"/>
      <protection locked="0"/>
    </xf>
    <xf numFmtId="165" fontId="8" fillId="0" borderId="40" xfId="1" applyNumberFormat="1" applyFont="1" applyFill="1" applyBorder="1" applyAlignment="1" applyProtection="1">
      <alignment horizontal="right" vertical="center" wrapText="1"/>
      <protection locked="0"/>
    </xf>
    <xf numFmtId="165" fontId="8" fillId="0" borderId="33" xfId="1" applyNumberFormat="1" applyFont="1" applyFill="1" applyBorder="1" applyAlignment="1" applyProtection="1">
      <alignment horizontal="right" vertical="center" wrapText="1"/>
      <protection locked="0"/>
    </xf>
    <xf numFmtId="166" fontId="45" fillId="0" borderId="9"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6" fontId="45" fillId="0" borderId="93" xfId="0" applyNumberFormat="1" applyFont="1" applyFill="1" applyBorder="1" applyAlignment="1" applyProtection="1">
      <alignment wrapText="1"/>
      <protection locked="0"/>
    </xf>
    <xf numFmtId="0" fontId="46" fillId="3" borderId="0" xfId="0" applyFont="1" applyFill="1" applyAlignment="1">
      <alignment wrapText="1"/>
    </xf>
    <xf numFmtId="0" fontId="0" fillId="3" borderId="45" xfId="0" applyFill="1" applyBorder="1" applyAlignment="1">
      <alignment wrapText="1"/>
    </xf>
    <xf numFmtId="0" fontId="21" fillId="3" borderId="0" xfId="0" applyFont="1" applyFill="1" applyAlignment="1" applyProtection="1">
      <alignment vertical="top"/>
    </xf>
    <xf numFmtId="0" fontId="10" fillId="3" borderId="0" xfId="0" applyFont="1" applyFill="1" applyAlignment="1" applyProtection="1">
      <alignment vertical="top"/>
    </xf>
    <xf numFmtId="0" fontId="0" fillId="3" borderId="94" xfId="0" applyFill="1" applyBorder="1" applyProtection="1"/>
    <xf numFmtId="0" fontId="8" fillId="4" borderId="0" xfId="0" applyFont="1" applyFill="1" applyProtection="1">
      <protection locked="0"/>
    </xf>
    <xf numFmtId="0" fontId="6" fillId="0" borderId="37" xfId="0" applyFont="1" applyFill="1" applyBorder="1" applyAlignment="1" applyProtection="1">
      <alignment horizontal="left" vertical="center"/>
      <protection locked="0"/>
    </xf>
    <xf numFmtId="0" fontId="31" fillId="3" borderId="0" xfId="0" applyFont="1" applyFill="1" applyProtection="1"/>
    <xf numFmtId="0" fontId="0" fillId="3" borderId="31" xfId="0" applyFill="1" applyBorder="1" applyProtection="1"/>
    <xf numFmtId="0" fontId="0" fillId="3" borderId="50" xfId="0" applyFill="1" applyBorder="1" applyProtection="1"/>
    <xf numFmtId="0" fontId="0" fillId="3" borderId="88" xfId="0" applyFill="1" applyBorder="1" applyProtection="1"/>
    <xf numFmtId="0" fontId="0" fillId="3" borderId="74" xfId="0" applyFill="1" applyBorder="1" applyProtection="1"/>
    <xf numFmtId="0" fontId="10" fillId="3" borderId="0" xfId="0" applyFont="1" applyFill="1" applyBorder="1" applyProtection="1"/>
    <xf numFmtId="0" fontId="44" fillId="3" borderId="0" xfId="0" applyFont="1" applyFill="1" applyBorder="1" applyProtection="1"/>
    <xf numFmtId="0" fontId="44" fillId="3" borderId="19" xfId="0" applyFont="1" applyFill="1" applyBorder="1" applyProtection="1"/>
    <xf numFmtId="0" fontId="34" fillId="3" borderId="26" xfId="0" applyFont="1" applyFill="1" applyBorder="1" applyAlignment="1" applyProtection="1">
      <alignment horizontal="center"/>
    </xf>
    <xf numFmtId="0" fontId="34" fillId="3" borderId="22" xfId="0" applyFont="1" applyFill="1" applyBorder="1" applyAlignment="1" applyProtection="1">
      <alignment horizontal="center"/>
    </xf>
    <xf numFmtId="0" fontId="44" fillId="3" borderId="0" xfId="0" applyFont="1" applyFill="1" applyProtection="1"/>
    <xf numFmtId="0" fontId="35" fillId="3" borderId="23" xfId="0" applyFont="1" applyFill="1" applyBorder="1" applyProtection="1"/>
    <xf numFmtId="0" fontId="8" fillId="3" borderId="23" xfId="0" applyFont="1" applyFill="1" applyBorder="1" applyProtection="1"/>
    <xf numFmtId="0" fontId="8" fillId="3" borderId="25" xfId="0" applyFont="1" applyFill="1" applyBorder="1" applyProtection="1"/>
    <xf numFmtId="0" fontId="8" fillId="0" borderId="23" xfId="0" applyFont="1" applyFill="1" applyBorder="1" applyProtection="1">
      <protection locked="0"/>
    </xf>
    <xf numFmtId="165" fontId="8" fillId="0" borderId="23" xfId="1" applyNumberFormat="1" applyFont="1" applyFill="1" applyBorder="1" applyProtection="1">
      <protection locked="0"/>
    </xf>
    <xf numFmtId="165" fontId="8" fillId="0" borderId="25" xfId="1" applyNumberFormat="1" applyFont="1" applyFill="1" applyBorder="1" applyProtection="1">
      <protection locked="0"/>
    </xf>
    <xf numFmtId="0" fontId="34" fillId="3" borderId="29" xfId="0" applyFont="1" applyFill="1" applyBorder="1" applyProtection="1"/>
    <xf numFmtId="165" fontId="34" fillId="3" borderId="29" xfId="1" applyNumberFormat="1" applyFont="1" applyFill="1" applyBorder="1" applyProtection="1"/>
    <xf numFmtId="165" fontId="34" fillId="3" borderId="28" xfId="1" applyNumberFormat="1" applyFont="1" applyFill="1" applyBorder="1" applyProtection="1"/>
    <xf numFmtId="165" fontId="8" fillId="3" borderId="23" xfId="1" applyNumberFormat="1" applyFont="1" applyFill="1" applyBorder="1" applyProtection="1"/>
    <xf numFmtId="165" fontId="8" fillId="3" borderId="25" xfId="1" applyNumberFormat="1" applyFont="1" applyFill="1" applyBorder="1" applyProtection="1"/>
    <xf numFmtId="0" fontId="34" fillId="3" borderId="77" xfId="0" applyFont="1" applyFill="1" applyBorder="1" applyProtection="1"/>
    <xf numFmtId="165" fontId="34" fillId="3" borderId="77" xfId="1" applyNumberFormat="1" applyFont="1" applyFill="1" applyBorder="1" applyProtection="1"/>
    <xf numFmtId="165" fontId="34" fillId="3" borderId="78" xfId="1" applyNumberFormat="1" applyFont="1" applyFill="1" applyBorder="1" applyProtection="1"/>
    <xf numFmtId="0" fontId="6" fillId="2" borderId="37" xfId="0" applyFont="1" applyFill="1" applyBorder="1" applyAlignment="1" applyProtection="1">
      <alignment horizontal="left" vertical="center"/>
    </xf>
    <xf numFmtId="0" fontId="38" fillId="3" borderId="0" xfId="0" applyFont="1" applyFill="1" applyProtection="1"/>
    <xf numFmtId="0" fontId="8" fillId="3" borderId="0" xfId="0" applyFont="1" applyFill="1" applyBorder="1" applyAlignment="1" applyProtection="1">
      <alignment wrapText="1"/>
    </xf>
    <xf numFmtId="0" fontId="8" fillId="3" borderId="90" xfId="0" applyFont="1" applyFill="1" applyBorder="1" applyProtection="1"/>
    <xf numFmtId="166" fontId="8" fillId="3" borderId="83" xfId="0" applyNumberFormat="1" applyFont="1" applyFill="1" applyBorder="1" applyAlignment="1" applyProtection="1">
      <alignment horizontal="center"/>
    </xf>
    <xf numFmtId="0" fontId="8" fillId="3" borderId="91" xfId="0" applyFont="1" applyFill="1" applyBorder="1" applyProtection="1"/>
    <xf numFmtId="0" fontId="8" fillId="3" borderId="92" xfId="0" applyFont="1" applyFill="1" applyBorder="1" applyProtection="1"/>
    <xf numFmtId="0" fontId="8" fillId="3" borderId="96" xfId="0" applyFont="1" applyFill="1" applyBorder="1" applyProtection="1"/>
    <xf numFmtId="0" fontId="44" fillId="3" borderId="97" xfId="0" applyFont="1" applyFill="1" applyBorder="1" applyProtection="1"/>
    <xf numFmtId="0" fontId="8" fillId="3" borderId="81" xfId="0" applyFont="1" applyFill="1" applyBorder="1" applyAlignment="1" applyProtection="1">
      <alignment horizontal="center" vertical="top" wrapText="1"/>
    </xf>
    <xf numFmtId="0" fontId="8" fillId="3" borderId="79" xfId="0" applyFont="1" applyFill="1" applyBorder="1" applyAlignment="1" applyProtection="1">
      <alignment horizontal="center" vertical="top" wrapText="1"/>
    </xf>
    <xf numFmtId="0" fontId="8" fillId="3" borderId="82" xfId="0" applyFont="1" applyFill="1" applyBorder="1" applyAlignment="1" applyProtection="1">
      <alignment horizontal="center" vertical="top" wrapText="1"/>
    </xf>
    <xf numFmtId="0" fontId="44" fillId="3" borderId="108" xfId="0" applyFont="1" applyFill="1" applyBorder="1" applyProtection="1"/>
    <xf numFmtId="0" fontId="8" fillId="3" borderId="15" xfId="0" applyFont="1" applyFill="1" applyBorder="1" applyAlignment="1" applyProtection="1">
      <alignment horizontal="center"/>
    </xf>
    <xf numFmtId="0" fontId="8" fillId="3" borderId="109" xfId="0" applyFont="1" applyFill="1" applyBorder="1" applyAlignment="1" applyProtection="1">
      <alignment horizontal="center"/>
    </xf>
    <xf numFmtId="0" fontId="8" fillId="3" borderId="110" xfId="0" applyFont="1" applyFill="1" applyBorder="1" applyAlignment="1" applyProtection="1">
      <alignment horizontal="center"/>
    </xf>
    <xf numFmtId="166" fontId="8" fillId="3" borderId="80" xfId="0" applyNumberFormat="1" applyFont="1" applyFill="1" applyBorder="1" applyAlignment="1" applyProtection="1">
      <alignment horizontal="center"/>
    </xf>
    <xf numFmtId="0" fontId="34" fillId="3" borderId="68" xfId="0" applyFont="1" applyFill="1" applyBorder="1" applyProtection="1"/>
    <xf numFmtId="166" fontId="34" fillId="3" borderId="95" xfId="0" applyNumberFormat="1" applyFont="1" applyFill="1" applyBorder="1" applyAlignment="1" applyProtection="1">
      <alignment horizontal="center"/>
    </xf>
    <xf numFmtId="166" fontId="34" fillId="3" borderId="84" xfId="0" applyNumberFormat="1" applyFont="1" applyFill="1" applyBorder="1" applyAlignment="1" applyProtection="1">
      <alignment horizontal="center"/>
    </xf>
    <xf numFmtId="166" fontId="34" fillId="3" borderId="85" xfId="0" applyNumberFormat="1" applyFont="1" applyFill="1" applyBorder="1" applyAlignment="1" applyProtection="1">
      <alignment horizontal="center"/>
    </xf>
    <xf numFmtId="0" fontId="0" fillId="0" borderId="0" xfId="0" applyProtection="1">
      <protection locked="0"/>
    </xf>
    <xf numFmtId="0" fontId="0" fillId="0" borderId="0" xfId="0" applyBorder="1" applyProtection="1">
      <protection locked="0"/>
    </xf>
    <xf numFmtId="165" fontId="0" fillId="0" borderId="0" xfId="1" applyNumberFormat="1" applyFont="1" applyProtection="1">
      <protection locked="0"/>
    </xf>
    <xf numFmtId="0" fontId="3" fillId="0" borderId="0" xfId="0" applyFont="1" applyFill="1" applyBorder="1" applyProtection="1">
      <protection locked="0"/>
    </xf>
    <xf numFmtId="0" fontId="0" fillId="0" borderId="1" xfId="0" applyBorder="1" applyProtection="1">
      <protection locked="0"/>
    </xf>
    <xf numFmtId="0" fontId="4" fillId="0" borderId="0" xfId="0" applyFont="1" applyProtection="1">
      <protection locked="0"/>
    </xf>
    <xf numFmtId="0" fontId="3" fillId="0" borderId="0" xfId="0" applyFont="1" applyBorder="1" applyProtection="1">
      <protection locked="0"/>
    </xf>
    <xf numFmtId="166" fontId="36" fillId="3" borderId="0" xfId="0" applyNumberFormat="1" applyFont="1" applyFill="1" applyBorder="1" applyProtection="1"/>
    <xf numFmtId="0" fontId="6" fillId="3" borderId="0" xfId="0" applyFont="1" applyFill="1" applyBorder="1" applyAlignment="1" applyProtection="1">
      <alignment horizontal="center" vertical="center"/>
    </xf>
    <xf numFmtId="0" fontId="34" fillId="2" borderId="4" xfId="0" applyFont="1" applyFill="1" applyBorder="1" applyProtection="1"/>
    <xf numFmtId="0" fontId="34" fillId="2" borderId="5" xfId="0" applyFont="1" applyFill="1" applyBorder="1" applyProtection="1"/>
    <xf numFmtId="0" fontId="34" fillId="2" borderId="7" xfId="0" applyFont="1" applyFill="1" applyBorder="1" applyAlignment="1" applyProtection="1">
      <alignment wrapText="1"/>
    </xf>
    <xf numFmtId="0" fontId="34" fillId="2" borderId="8" xfId="0" applyFont="1" applyFill="1" applyBorder="1" applyAlignment="1" applyProtection="1">
      <alignment wrapText="1"/>
    </xf>
    <xf numFmtId="0" fontId="34" fillId="2" borderId="14" xfId="0" applyFont="1" applyFill="1" applyBorder="1" applyProtection="1"/>
    <xf numFmtId="0" fontId="34" fillId="2" borderId="111" xfId="0" applyFont="1" applyFill="1" applyBorder="1" applyProtection="1"/>
    <xf numFmtId="0" fontId="34" fillId="2" borderId="15" xfId="0" applyFont="1" applyFill="1" applyBorder="1" applyAlignment="1" applyProtection="1">
      <alignment wrapText="1"/>
    </xf>
    <xf numFmtId="0" fontId="34" fillId="2" borderId="16" xfId="0" applyFont="1" applyFill="1" applyBorder="1" applyAlignment="1" applyProtection="1">
      <alignment wrapText="1"/>
    </xf>
    <xf numFmtId="0" fontId="8" fillId="3" borderId="0" xfId="0" applyFont="1" applyFill="1" applyAlignment="1" applyProtection="1">
      <alignment wrapText="1"/>
    </xf>
    <xf numFmtId="166" fontId="36" fillId="2" borderId="4" xfId="0" applyNumberFormat="1" applyFont="1" applyFill="1" applyBorder="1" applyProtection="1"/>
    <xf numFmtId="166" fontId="36" fillId="2" borderId="5" xfId="0" applyNumberFormat="1" applyFont="1" applyFill="1" applyBorder="1" applyProtection="1"/>
    <xf numFmtId="166" fontId="36" fillId="2" borderId="7" xfId="0" applyNumberFormat="1" applyFont="1" applyFill="1" applyBorder="1" applyProtection="1"/>
    <xf numFmtId="166" fontId="36" fillId="2" borderId="3" xfId="0" applyNumberFormat="1" applyFont="1" applyFill="1" applyBorder="1" applyProtection="1"/>
    <xf numFmtId="0" fontId="34" fillId="3" borderId="0" xfId="0" applyFont="1" applyFill="1" applyBorder="1" applyProtection="1"/>
    <xf numFmtId="0" fontId="34" fillId="2" borderId="4" xfId="0" applyFont="1" applyFill="1" applyBorder="1" applyAlignment="1" applyProtection="1">
      <alignment wrapText="1"/>
    </xf>
    <xf numFmtId="0" fontId="34" fillId="2" borderId="3" xfId="0" applyFont="1" applyFill="1" applyBorder="1" applyAlignment="1" applyProtection="1">
      <alignment wrapText="1"/>
    </xf>
    <xf numFmtId="0" fontId="34" fillId="2" borderId="64" xfId="0" applyFont="1" applyFill="1" applyBorder="1" applyProtection="1"/>
    <xf numFmtId="0" fontId="34" fillId="2" borderId="14" xfId="0" applyFont="1" applyFill="1" applyBorder="1" applyAlignment="1" applyProtection="1">
      <alignment wrapText="1"/>
    </xf>
    <xf numFmtId="0" fontId="34" fillId="2" borderId="94" xfId="0" applyFont="1" applyFill="1" applyBorder="1" applyAlignment="1" applyProtection="1">
      <alignment wrapText="1"/>
    </xf>
    <xf numFmtId="166" fontId="45" fillId="2" borderId="11" xfId="0" applyNumberFormat="1" applyFont="1" applyFill="1" applyBorder="1" applyAlignment="1" applyProtection="1">
      <alignment wrapText="1"/>
    </xf>
    <xf numFmtId="0" fontId="46" fillId="3" borderId="0" xfId="0" applyFont="1" applyFill="1" applyAlignment="1" applyProtection="1">
      <alignment wrapText="1"/>
    </xf>
    <xf numFmtId="166" fontId="36" fillId="2" borderId="2" xfId="0" applyNumberFormat="1" applyFont="1" applyFill="1" applyBorder="1" applyProtection="1"/>
    <xf numFmtId="0" fontId="2" fillId="3" borderId="0" xfId="0" applyFont="1" applyFill="1" applyBorder="1" applyProtection="1"/>
    <xf numFmtId="167" fontId="34" fillId="2" borderId="22" xfId="1" applyNumberFormat="1" applyFont="1" applyFill="1" applyBorder="1" applyAlignment="1" applyProtection="1">
      <alignment horizontal="center" vertical="center" wrapText="1"/>
    </xf>
    <xf numFmtId="167" fontId="34" fillId="2" borderId="41" xfId="1" applyNumberFormat="1" applyFont="1" applyFill="1" applyBorder="1" applyAlignment="1" applyProtection="1">
      <alignment horizontal="center" wrapText="1"/>
    </xf>
    <xf numFmtId="167" fontId="34" fillId="2" borderId="52" xfId="1" applyNumberFormat="1" applyFont="1" applyFill="1" applyBorder="1" applyAlignment="1" applyProtection="1">
      <alignment horizontal="center" vertical="center" wrapText="1"/>
    </xf>
    <xf numFmtId="167" fontId="34" fillId="2" borderId="53" xfId="1" applyNumberFormat="1" applyFont="1" applyFill="1" applyBorder="1" applyAlignment="1" applyProtection="1">
      <alignment horizontal="center" vertical="center" wrapText="1"/>
    </xf>
    <xf numFmtId="167" fontId="34" fillId="2" borderId="54" xfId="1" applyNumberFormat="1" applyFont="1" applyFill="1" applyBorder="1" applyAlignment="1" applyProtection="1">
      <alignment horizontal="center" vertical="center" wrapText="1"/>
    </xf>
    <xf numFmtId="167" fontId="34" fillId="2" borderId="55" xfId="1" applyNumberFormat="1" applyFont="1" applyFill="1" applyBorder="1" applyAlignment="1" applyProtection="1">
      <alignment horizontal="center" vertical="center" wrapText="1"/>
    </xf>
    <xf numFmtId="167" fontId="10" fillId="2" borderId="61" xfId="1" applyNumberFormat="1" applyFont="1" applyFill="1" applyBorder="1" applyProtection="1"/>
    <xf numFmtId="167" fontId="10" fillId="2" borderId="62" xfId="1" applyNumberFormat="1" applyFont="1" applyFill="1" applyBorder="1" applyProtection="1"/>
    <xf numFmtId="165" fontId="10" fillId="2" borderId="3" xfId="1" applyNumberFormat="1" applyFont="1" applyFill="1" applyBorder="1" applyProtection="1"/>
    <xf numFmtId="165" fontId="10" fillId="2" borderId="6" xfId="1" applyNumberFormat="1" applyFont="1" applyFill="1" applyBorder="1" applyProtection="1"/>
    <xf numFmtId="165" fontId="10" fillId="2" borderId="46" xfId="1" applyNumberFormat="1" applyFont="1" applyFill="1" applyBorder="1" applyProtection="1"/>
    <xf numFmtId="165" fontId="10" fillId="2" borderId="67" xfId="1" applyNumberFormat="1" applyFont="1" applyFill="1" applyBorder="1" applyProtection="1"/>
    <xf numFmtId="165" fontId="10" fillId="2" borderId="58" xfId="1" applyNumberFormat="1" applyFont="1" applyFill="1" applyBorder="1" applyProtection="1"/>
    <xf numFmtId="165" fontId="10" fillId="2" borderId="59" xfId="1" applyNumberFormat="1" applyFont="1" applyFill="1" applyBorder="1" applyProtection="1"/>
    <xf numFmtId="165" fontId="10" fillId="4" borderId="22" xfId="1" applyNumberFormat="1" applyFont="1" applyFill="1" applyBorder="1" applyAlignment="1" applyProtection="1">
      <alignment horizontal="center" vertical="center" wrapText="1"/>
      <protection locked="0"/>
    </xf>
    <xf numFmtId="165" fontId="10" fillId="4" borderId="28" xfId="1" applyNumberFormat="1" applyFont="1" applyFill="1" applyBorder="1" applyAlignment="1" applyProtection="1">
      <alignment horizontal="center" vertical="center" wrapText="1"/>
      <protection locked="0"/>
    </xf>
    <xf numFmtId="165" fontId="10" fillId="4" borderId="68" xfId="1" applyNumberFormat="1" applyFont="1" applyFill="1" applyBorder="1" applyProtection="1">
      <protection locked="0"/>
    </xf>
    <xf numFmtId="165" fontId="10" fillId="4" borderId="69" xfId="1" applyNumberFormat="1" applyFont="1" applyFill="1" applyBorder="1" applyProtection="1">
      <protection locked="0"/>
    </xf>
    <xf numFmtId="165" fontId="10" fillId="4" borderId="71" xfId="1" applyNumberFormat="1" applyFont="1" applyFill="1" applyBorder="1" applyProtection="1">
      <protection locked="0"/>
    </xf>
    <xf numFmtId="0" fontId="0" fillId="3" borderId="56" xfId="0" applyFill="1" applyBorder="1" applyProtection="1"/>
    <xf numFmtId="0" fontId="0" fillId="3" borderId="64" xfId="0" applyFill="1" applyBorder="1" applyProtection="1"/>
    <xf numFmtId="0" fontId="0" fillId="3" borderId="66" xfId="0" applyFill="1" applyBorder="1" applyProtection="1"/>
    <xf numFmtId="0" fontId="0" fillId="0" borderId="112" xfId="0" applyFill="1" applyBorder="1" applyAlignment="1" applyProtection="1">
      <alignment horizontal="center"/>
      <protection locked="0"/>
    </xf>
    <xf numFmtId="0" fontId="0" fillId="0" borderId="113" xfId="0" applyFill="1" applyBorder="1" applyAlignment="1" applyProtection="1">
      <alignment horizontal="center"/>
      <protection locked="0"/>
    </xf>
    <xf numFmtId="0" fontId="0" fillId="0" borderId="114" xfId="0" applyFill="1" applyBorder="1" applyAlignment="1" applyProtection="1">
      <alignment horizontal="center"/>
      <protection locked="0"/>
    </xf>
    <xf numFmtId="0" fontId="2" fillId="3" borderId="42" xfId="0" applyFont="1" applyFill="1" applyBorder="1" applyProtection="1"/>
    <xf numFmtId="1" fontId="19" fillId="4" borderId="19" xfId="3" applyNumberFormat="1" applyFont="1" applyFill="1" applyBorder="1" applyAlignment="1" applyProtection="1">
      <alignment vertical="center"/>
      <protection locked="0"/>
    </xf>
    <xf numFmtId="1" fontId="19" fillId="4" borderId="42" xfId="3" applyNumberFormat="1" applyFont="1" applyFill="1" applyBorder="1" applyAlignment="1" applyProtection="1">
      <alignment vertical="center" wrapText="1"/>
      <protection locked="0"/>
    </xf>
    <xf numFmtId="0" fontId="2" fillId="4" borderId="42" xfId="0" applyFont="1" applyFill="1" applyBorder="1" applyProtection="1">
      <protection locked="0"/>
    </xf>
    <xf numFmtId="0" fontId="2" fillId="4" borderId="0" xfId="0" applyFont="1" applyFill="1" applyBorder="1" applyProtection="1">
      <protection locked="0"/>
    </xf>
    <xf numFmtId="2" fontId="19" fillId="4" borderId="42" xfId="3" applyNumberFormat="1" applyFont="1" applyFill="1" applyBorder="1" applyAlignment="1" applyProtection="1">
      <alignment vertical="top"/>
      <protection locked="0"/>
    </xf>
    <xf numFmtId="1" fontId="19" fillId="4" borderId="42" xfId="3" applyNumberFormat="1" applyFont="1" applyFill="1" applyBorder="1" applyAlignment="1" applyProtection="1">
      <alignment vertical="top"/>
      <protection locked="0"/>
    </xf>
    <xf numFmtId="0" fontId="2" fillId="4" borderId="19" xfId="0" applyFont="1" applyFill="1" applyBorder="1" applyProtection="1">
      <protection locked="0"/>
    </xf>
    <xf numFmtId="0" fontId="2" fillId="4" borderId="0" xfId="0" applyFont="1" applyFill="1" applyProtection="1">
      <protection locked="0"/>
    </xf>
    <xf numFmtId="0" fontId="0" fillId="3" borderId="23" xfId="0" applyFill="1" applyBorder="1" applyProtection="1"/>
    <xf numFmtId="1" fontId="20" fillId="4" borderId="23" xfId="3" applyNumberFormat="1" applyFont="1" applyFill="1" applyBorder="1" applyAlignment="1" applyProtection="1">
      <alignment vertical="center" wrapText="1"/>
      <protection locked="0"/>
    </xf>
    <xf numFmtId="1" fontId="20" fillId="4" borderId="0" xfId="3" applyNumberFormat="1" applyFont="1" applyFill="1" applyBorder="1" applyAlignment="1" applyProtection="1">
      <alignment vertical="center" wrapText="1"/>
      <protection locked="0"/>
    </xf>
    <xf numFmtId="1" fontId="20" fillId="4" borderId="66" xfId="3" applyNumberFormat="1" applyFont="1" applyFill="1" applyBorder="1" applyAlignment="1" applyProtection="1">
      <alignment vertical="center" wrapText="1"/>
      <protection locked="0"/>
    </xf>
    <xf numFmtId="0" fontId="21" fillId="4" borderId="66" xfId="0" applyFont="1" applyFill="1" applyBorder="1" applyProtection="1">
      <protection locked="0"/>
    </xf>
    <xf numFmtId="0" fontId="0" fillId="4" borderId="0" xfId="0" applyFill="1" applyBorder="1" applyProtection="1">
      <protection locked="0"/>
    </xf>
    <xf numFmtId="0" fontId="0" fillId="4" borderId="66" xfId="0" applyFill="1" applyBorder="1" applyProtection="1">
      <protection locked="0"/>
    </xf>
    <xf numFmtId="49" fontId="20" fillId="4" borderId="23" xfId="3" applyNumberFormat="1" applyFont="1" applyFill="1" applyBorder="1" applyAlignment="1" applyProtection="1">
      <alignment vertical="center" wrapText="1"/>
      <protection locked="0"/>
    </xf>
    <xf numFmtId="49" fontId="20" fillId="4" borderId="0" xfId="3" applyNumberFormat="1" applyFont="1" applyFill="1" applyBorder="1" applyAlignment="1" applyProtection="1">
      <alignment vertical="center" wrapText="1"/>
      <protection locked="0"/>
    </xf>
    <xf numFmtId="3" fontId="20" fillId="4" borderId="0" xfId="3" applyNumberFormat="1" applyFont="1" applyFill="1" applyBorder="1" applyAlignment="1" applyProtection="1">
      <alignment vertical="center" wrapText="1"/>
      <protection locked="0"/>
    </xf>
    <xf numFmtId="1" fontId="22" fillId="4" borderId="0" xfId="3" applyNumberFormat="1" applyFont="1" applyFill="1" applyBorder="1" applyAlignment="1" applyProtection="1">
      <alignment vertical="top"/>
      <protection locked="0"/>
    </xf>
    <xf numFmtId="0" fontId="0" fillId="4" borderId="23" xfId="0" applyFill="1" applyBorder="1" applyProtection="1">
      <protection locked="0"/>
    </xf>
    <xf numFmtId="0" fontId="21" fillId="4" borderId="64" xfId="0" applyFont="1" applyFill="1" applyBorder="1" applyProtection="1">
      <protection locked="0"/>
    </xf>
    <xf numFmtId="0" fontId="0" fillId="4" borderId="0" xfId="0" applyFill="1" applyProtection="1">
      <protection locked="0"/>
    </xf>
    <xf numFmtId="1" fontId="20" fillId="4" borderId="43" xfId="3" applyNumberFormat="1" applyFont="1" applyFill="1" applyBorder="1" applyAlignment="1" applyProtection="1">
      <alignment vertical="top" wrapText="1"/>
      <protection locked="0"/>
    </xf>
    <xf numFmtId="1" fontId="20" fillId="4" borderId="13" xfId="3" applyNumberFormat="1" applyFont="1" applyFill="1" applyBorder="1" applyAlignment="1" applyProtection="1">
      <alignment vertical="top" wrapText="1"/>
      <protection locked="0"/>
    </xf>
    <xf numFmtId="1" fontId="0" fillId="0" borderId="0" xfId="1" applyNumberFormat="1" applyFont="1" applyProtection="1">
      <protection locked="0"/>
    </xf>
    <xf numFmtId="9" fontId="0" fillId="0" borderId="0" xfId="0" applyNumberFormat="1" applyProtection="1">
      <protection locked="0"/>
    </xf>
    <xf numFmtId="1" fontId="0" fillId="0" borderId="0" xfId="2" applyNumberFormat="1" applyFont="1" applyProtection="1">
      <protection locked="0"/>
    </xf>
    <xf numFmtId="0" fontId="0" fillId="0" borderId="0" xfId="0" applyAlignment="1" applyProtection="1">
      <alignment wrapText="1"/>
      <protection locked="0"/>
    </xf>
    <xf numFmtId="167" fontId="10" fillId="2" borderId="74" xfId="1" applyNumberFormat="1" applyFont="1" applyFill="1" applyBorder="1" applyProtection="1"/>
    <xf numFmtId="0" fontId="2" fillId="7" borderId="0" xfId="0" applyFont="1" applyFill="1" applyAlignment="1">
      <alignment vertical="top"/>
    </xf>
    <xf numFmtId="0" fontId="0" fillId="7" borderId="0" xfId="0" applyFill="1"/>
    <xf numFmtId="0" fontId="0" fillId="7" borderId="0" xfId="0" applyFill="1" applyBorder="1"/>
    <xf numFmtId="0" fontId="0" fillId="7" borderId="42" xfId="0" applyFill="1" applyBorder="1"/>
    <xf numFmtId="1" fontId="0" fillId="7" borderId="0" xfId="0" applyNumberFormat="1" applyFill="1" applyBorder="1"/>
    <xf numFmtId="0" fontId="0" fillId="8" borderId="19" xfId="0" applyFill="1" applyBorder="1"/>
    <xf numFmtId="0" fontId="0" fillId="8" borderId="42" xfId="0" applyFill="1" applyBorder="1"/>
    <xf numFmtId="10" fontId="2" fillId="8" borderId="19" xfId="0" applyNumberFormat="1" applyFont="1" applyFill="1" applyBorder="1" applyAlignment="1"/>
    <xf numFmtId="0" fontId="0" fillId="8" borderId="42" xfId="0" applyFill="1" applyBorder="1" applyAlignment="1"/>
    <xf numFmtId="0" fontId="2" fillId="8" borderId="23" xfId="0" applyFont="1" applyFill="1" applyBorder="1" applyAlignment="1">
      <alignment wrapText="1"/>
    </xf>
    <xf numFmtId="0" fontId="2" fillId="8" borderId="0" xfId="0" applyFont="1" applyFill="1" applyBorder="1" applyAlignment="1">
      <alignment wrapText="1"/>
    </xf>
    <xf numFmtId="0" fontId="2" fillId="8" borderId="117" xfId="0" applyFont="1" applyFill="1" applyBorder="1" applyAlignment="1">
      <alignment wrapText="1"/>
    </xf>
    <xf numFmtId="0" fontId="2" fillId="8" borderId="0" xfId="0" applyFont="1" applyFill="1" applyBorder="1" applyAlignment="1">
      <alignment horizontal="left" wrapText="1"/>
    </xf>
    <xf numFmtId="0" fontId="0" fillId="7" borderId="0" xfId="0" applyFill="1" applyAlignment="1"/>
    <xf numFmtId="0" fontId="0" fillId="7" borderId="119" xfId="0" applyFill="1" applyBorder="1"/>
    <xf numFmtId="0" fontId="0" fillId="7" borderId="120" xfId="0" applyFill="1" applyBorder="1"/>
    <xf numFmtId="0" fontId="0" fillId="7" borderId="121" xfId="0" applyFill="1" applyBorder="1"/>
    <xf numFmtId="3" fontId="0" fillId="7" borderId="54" xfId="0" applyNumberFormat="1" applyFill="1" applyBorder="1"/>
    <xf numFmtId="3" fontId="0" fillId="7" borderId="52" xfId="0" applyNumberFormat="1" applyFill="1" applyBorder="1"/>
    <xf numFmtId="0" fontId="0" fillId="7" borderId="122" xfId="0" applyFill="1" applyBorder="1"/>
    <xf numFmtId="0" fontId="0" fillId="7" borderId="123" xfId="0" applyFill="1" applyBorder="1"/>
    <xf numFmtId="0" fontId="0" fillId="7" borderId="124" xfId="0" applyFill="1" applyBorder="1"/>
    <xf numFmtId="3" fontId="0" fillId="7" borderId="45" xfId="0" applyNumberFormat="1" applyFill="1" applyBorder="1"/>
    <xf numFmtId="3" fontId="0" fillId="7" borderId="6" xfId="0" applyNumberFormat="1" applyFill="1" applyBorder="1"/>
    <xf numFmtId="0" fontId="0" fillId="7" borderId="125" xfId="0" applyFill="1" applyBorder="1"/>
    <xf numFmtId="0" fontId="0" fillId="7" borderId="126" xfId="0" applyFill="1" applyBorder="1"/>
    <xf numFmtId="0" fontId="0" fillId="7" borderId="127" xfId="0" applyFill="1" applyBorder="1"/>
    <xf numFmtId="3" fontId="0" fillId="7" borderId="57" xfId="0" applyNumberFormat="1" applyFill="1" applyBorder="1"/>
    <xf numFmtId="3" fontId="0" fillId="7" borderId="58" xfId="0" applyNumberFormat="1" applyFill="1" applyBorder="1"/>
    <xf numFmtId="0" fontId="2" fillId="7" borderId="0" xfId="0" applyFont="1" applyFill="1" applyBorder="1"/>
    <xf numFmtId="3" fontId="2" fillId="7" borderId="0" xfId="0" applyNumberFormat="1" applyFont="1" applyFill="1"/>
    <xf numFmtId="1" fontId="0" fillId="7" borderId="0" xfId="0" applyNumberFormat="1" applyFill="1"/>
    <xf numFmtId="0" fontId="47" fillId="7" borderId="0" xfId="0" applyFont="1" applyFill="1" applyBorder="1"/>
    <xf numFmtId="0" fontId="0" fillId="7" borderId="61" xfId="0" applyFill="1" applyBorder="1"/>
    <xf numFmtId="0" fontId="0" fillId="7" borderId="6" xfId="0" applyFill="1" applyBorder="1"/>
    <xf numFmtId="3" fontId="0" fillId="7" borderId="46" xfId="0" applyNumberFormat="1" applyFill="1" applyBorder="1"/>
    <xf numFmtId="3" fontId="0" fillId="7" borderId="59" xfId="0" applyNumberFormat="1" applyFill="1" applyBorder="1"/>
    <xf numFmtId="0" fontId="2" fillId="7" borderId="0" xfId="0" applyFont="1" applyFill="1"/>
    <xf numFmtId="0" fontId="0" fillId="8" borderId="128" xfId="0" applyFill="1" applyBorder="1"/>
    <xf numFmtId="0" fontId="0" fillId="8" borderId="116" xfId="0" applyFill="1" applyBorder="1"/>
    <xf numFmtId="0" fontId="2" fillId="8" borderId="129" xfId="0" applyFont="1" applyFill="1" applyBorder="1" applyAlignment="1">
      <alignment wrapText="1"/>
    </xf>
    <xf numFmtId="0" fontId="2" fillId="8" borderId="118" xfId="0" applyFont="1" applyFill="1" applyBorder="1" applyAlignment="1">
      <alignment wrapText="1"/>
    </xf>
    <xf numFmtId="0" fontId="2" fillId="8" borderId="118" xfId="0" applyFont="1" applyFill="1" applyBorder="1" applyAlignment="1">
      <alignment horizontal="left" wrapText="1"/>
    </xf>
    <xf numFmtId="0" fontId="10" fillId="3" borderId="0" xfId="0" applyFont="1" applyFill="1" applyAlignment="1" applyProtection="1">
      <alignment vertical="center" wrapText="1"/>
    </xf>
    <xf numFmtId="1" fontId="19" fillId="9" borderId="42" xfId="3" applyNumberFormat="1" applyFont="1" applyFill="1" applyBorder="1" applyAlignment="1" applyProtection="1">
      <alignment vertical="center" wrapText="1"/>
      <protection locked="0"/>
    </xf>
    <xf numFmtId="1" fontId="20" fillId="9" borderId="0" xfId="3" applyNumberFormat="1" applyFont="1" applyFill="1" applyBorder="1" applyAlignment="1" applyProtection="1">
      <alignment vertical="center" wrapText="1"/>
      <protection locked="0"/>
    </xf>
    <xf numFmtId="1" fontId="20" fillId="9" borderId="13" xfId="3" applyNumberFormat="1" applyFont="1" applyFill="1" applyBorder="1" applyAlignment="1" applyProtection="1">
      <alignment vertical="top" wrapText="1"/>
      <protection locked="0"/>
    </xf>
    <xf numFmtId="0" fontId="26" fillId="9" borderId="69" xfId="0" applyFont="1" applyFill="1" applyBorder="1" applyAlignment="1">
      <alignment vertical="top" wrapText="1"/>
    </xf>
    <xf numFmtId="3" fontId="3" fillId="9" borderId="61" xfId="3" quotePrefix="1" applyNumberFormat="1" applyFont="1" applyFill="1" applyBorder="1" applyAlignment="1">
      <alignment horizontal="right" vertical="top"/>
    </xf>
    <xf numFmtId="3" fontId="3" fillId="9" borderId="6" xfId="3" quotePrefix="1" applyNumberFormat="1" applyFont="1" applyFill="1" applyBorder="1" applyAlignment="1">
      <alignment horizontal="right" vertical="top"/>
    </xf>
    <xf numFmtId="3" fontId="0" fillId="9" borderId="6" xfId="0" applyNumberFormat="1" applyFill="1" applyBorder="1"/>
    <xf numFmtId="3" fontId="3" fillId="9" borderId="58" xfId="3" quotePrefix="1" applyNumberFormat="1" applyFont="1" applyFill="1" applyBorder="1" applyAlignment="1">
      <alignment horizontal="right" vertical="top"/>
    </xf>
    <xf numFmtId="0" fontId="19" fillId="9" borderId="61" xfId="0" applyFont="1" applyFill="1" applyBorder="1"/>
    <xf numFmtId="0" fontId="0" fillId="9" borderId="0" xfId="0" applyFill="1"/>
    <xf numFmtId="0" fontId="2" fillId="9" borderId="42" xfId="0" applyFont="1" applyFill="1" applyBorder="1" applyProtection="1">
      <protection locked="0"/>
    </xf>
    <xf numFmtId="1" fontId="20" fillId="9" borderId="13" xfId="3" applyNumberFormat="1" applyFont="1" applyFill="1" applyBorder="1" applyAlignment="1" applyProtection="1">
      <alignment horizontal="left" vertical="top" wrapText="1"/>
      <protection locked="0"/>
    </xf>
    <xf numFmtId="165" fontId="0" fillId="9" borderId="61" xfId="1" applyNumberFormat="1" applyFont="1" applyFill="1" applyBorder="1"/>
    <xf numFmtId="165" fontId="0" fillId="9" borderId="6" xfId="1" applyNumberFormat="1" applyFont="1" applyFill="1" applyBorder="1"/>
    <xf numFmtId="0" fontId="0" fillId="9" borderId="0" xfId="0" applyFill="1" applyBorder="1" applyProtection="1">
      <protection locked="0"/>
    </xf>
    <xf numFmtId="0" fontId="26" fillId="9" borderId="70" xfId="0" applyFont="1" applyFill="1" applyBorder="1" applyAlignment="1">
      <alignment vertical="top" wrapText="1"/>
    </xf>
    <xf numFmtId="169" fontId="0" fillId="9" borderId="66" xfId="0" applyNumberFormat="1" applyFont="1" applyFill="1" applyBorder="1"/>
    <xf numFmtId="169" fontId="0" fillId="9" borderId="66" xfId="0" applyNumberFormat="1" applyFill="1" applyBorder="1"/>
    <xf numFmtId="169" fontId="0" fillId="9" borderId="64" xfId="0" applyNumberFormat="1" applyFont="1" applyFill="1" applyBorder="1"/>
    <xf numFmtId="165" fontId="10" fillId="2" borderId="45" xfId="1" applyNumberFormat="1" applyFont="1" applyFill="1" applyBorder="1" applyProtection="1"/>
    <xf numFmtId="165" fontId="10" fillId="2" borderId="57" xfId="1" applyNumberFormat="1" applyFont="1" applyFill="1" applyBorder="1" applyProtection="1"/>
    <xf numFmtId="10" fontId="2" fillId="8" borderId="42" xfId="0" applyNumberFormat="1" applyFont="1" applyFill="1" applyBorder="1" applyAlignment="1"/>
    <xf numFmtId="3" fontId="0" fillId="7" borderId="3" xfId="0" applyNumberFormat="1" applyFill="1" applyBorder="1"/>
    <xf numFmtId="0" fontId="0" fillId="8" borderId="23" xfId="0" applyFill="1" applyBorder="1"/>
    <xf numFmtId="0" fontId="0" fillId="8" borderId="0" xfId="0" applyFill="1" applyBorder="1"/>
    <xf numFmtId="10" fontId="2" fillId="8" borderId="23" xfId="0" applyNumberFormat="1" applyFont="1" applyFill="1" applyBorder="1" applyAlignment="1"/>
    <xf numFmtId="10" fontId="2" fillId="8" borderId="0" xfId="0" applyNumberFormat="1" applyFont="1" applyFill="1" applyBorder="1" applyAlignment="1"/>
    <xf numFmtId="0" fontId="0" fillId="8" borderId="0" xfId="0" applyFill="1" applyBorder="1" applyAlignment="1"/>
    <xf numFmtId="0" fontId="2" fillId="8" borderId="0" xfId="0" applyFont="1" applyFill="1" applyBorder="1" applyAlignment="1"/>
    <xf numFmtId="1" fontId="29" fillId="8" borderId="23" xfId="0" applyNumberFormat="1" applyFont="1" applyFill="1" applyBorder="1" applyAlignment="1">
      <alignment horizontal="center" wrapText="1"/>
    </xf>
    <xf numFmtId="1" fontId="29" fillId="8" borderId="0" xfId="0" applyNumberFormat="1" applyFont="1" applyFill="1" applyBorder="1" applyAlignment="1">
      <alignment horizontal="center" wrapText="1"/>
    </xf>
    <xf numFmtId="3" fontId="0" fillId="7" borderId="55" xfId="0" applyNumberFormat="1" applyFill="1" applyBorder="1"/>
    <xf numFmtId="0" fontId="12" fillId="2" borderId="27" xfId="0" applyFont="1" applyFill="1" applyBorder="1" applyAlignment="1" applyProtection="1">
      <alignment vertical="top" wrapText="1"/>
    </xf>
    <xf numFmtId="165" fontId="44" fillId="3" borderId="0" xfId="1" applyNumberFormat="1" applyFont="1" applyFill="1" applyBorder="1" applyProtection="1"/>
    <xf numFmtId="2" fontId="19" fillId="10" borderId="0" xfId="3" applyNumberFormat="1" applyFont="1" applyFill="1" applyBorder="1" applyAlignment="1" applyProtection="1">
      <alignment vertical="top"/>
      <protection locked="0"/>
    </xf>
    <xf numFmtId="1" fontId="22" fillId="10" borderId="0" xfId="3" applyNumberFormat="1" applyFont="1" applyFill="1" applyBorder="1" applyAlignment="1" applyProtection="1">
      <alignment vertical="top"/>
      <protection locked="0"/>
    </xf>
    <xf numFmtId="49" fontId="20" fillId="10" borderId="13" xfId="3" applyNumberFormat="1" applyFont="1" applyFill="1" applyBorder="1" applyAlignment="1">
      <alignment vertical="center" wrapText="1"/>
    </xf>
    <xf numFmtId="0" fontId="26" fillId="10" borderId="70" xfId="0" applyFont="1" applyFill="1" applyBorder="1" applyAlignment="1">
      <alignment vertical="top" wrapText="1"/>
    </xf>
    <xf numFmtId="170" fontId="3" fillId="10" borderId="66" xfId="3" quotePrefix="1" applyNumberFormat="1" applyFont="1" applyFill="1" applyBorder="1" applyAlignment="1">
      <alignment horizontal="right" vertical="top"/>
    </xf>
    <xf numFmtId="169" fontId="0" fillId="10" borderId="66" xfId="0" applyNumberFormat="1" applyFill="1" applyBorder="1"/>
    <xf numFmtId="170" fontId="3" fillId="10" borderId="64" xfId="3" quotePrefix="1" applyNumberFormat="1" applyFont="1" applyFill="1" applyBorder="1" applyAlignment="1">
      <alignment horizontal="right" vertical="top"/>
    </xf>
    <xf numFmtId="0" fontId="19" fillId="10" borderId="66" xfId="0" applyFont="1" applyFill="1" applyBorder="1"/>
    <xf numFmtId="0" fontId="0" fillId="10" borderId="0" xfId="0" applyFill="1"/>
    <xf numFmtId="1" fontId="19" fillId="10" borderId="42" xfId="3" applyNumberFormat="1" applyFont="1" applyFill="1" applyBorder="1" applyAlignment="1" applyProtection="1">
      <alignment vertical="center" wrapText="1"/>
      <protection locked="0"/>
    </xf>
    <xf numFmtId="49" fontId="20" fillId="10" borderId="0" xfId="3" applyNumberFormat="1" applyFont="1" applyFill="1" applyBorder="1" applyAlignment="1" applyProtection="1">
      <alignment vertical="center" wrapText="1"/>
      <protection locked="0"/>
    </xf>
    <xf numFmtId="0" fontId="26" fillId="10" borderId="69" xfId="0" applyFont="1" applyFill="1" applyBorder="1" applyAlignment="1">
      <alignment vertical="top" wrapText="1"/>
    </xf>
    <xf numFmtId="3" fontId="3" fillId="10" borderId="61" xfId="3" quotePrefix="1" applyNumberFormat="1" applyFont="1" applyFill="1" applyBorder="1" applyAlignment="1">
      <alignment horizontal="right" vertical="top"/>
    </xf>
    <xf numFmtId="3" fontId="3" fillId="10" borderId="6" xfId="3" quotePrefix="1" applyNumberFormat="1" applyFont="1" applyFill="1" applyBorder="1" applyAlignment="1">
      <alignment horizontal="right" vertical="top"/>
    </xf>
    <xf numFmtId="3" fontId="0" fillId="10" borderId="6" xfId="0" applyNumberFormat="1" applyFill="1" applyBorder="1"/>
    <xf numFmtId="3" fontId="3" fillId="10" borderId="58" xfId="3" quotePrefix="1" applyNumberFormat="1" applyFont="1" applyFill="1" applyBorder="1" applyAlignment="1">
      <alignment horizontal="right" vertical="top"/>
    </xf>
    <xf numFmtId="0" fontId="19" fillId="10" borderId="61" xfId="0" applyFont="1" applyFill="1" applyBorder="1"/>
    <xf numFmtId="0" fontId="2" fillId="10" borderId="42" xfId="0" applyFont="1" applyFill="1" applyBorder="1" applyProtection="1">
      <protection locked="0"/>
    </xf>
    <xf numFmtId="0" fontId="2" fillId="10" borderId="20" xfId="0" applyFont="1" applyFill="1" applyBorder="1" applyProtection="1">
      <protection locked="0"/>
    </xf>
    <xf numFmtId="0" fontId="0" fillId="10" borderId="0" xfId="0" applyFill="1" applyBorder="1" applyProtection="1">
      <protection locked="0"/>
    </xf>
    <xf numFmtId="0" fontId="23" fillId="10" borderId="0" xfId="0" applyFont="1" applyFill="1" applyBorder="1" applyAlignment="1" applyProtection="1">
      <protection locked="0"/>
    </xf>
    <xf numFmtId="0" fontId="23" fillId="10" borderId="24" xfId="0" applyFont="1" applyFill="1" applyBorder="1" applyAlignment="1" applyProtection="1">
      <protection locked="0"/>
    </xf>
    <xf numFmtId="0" fontId="24" fillId="10" borderId="13" xfId="0" applyFont="1" applyFill="1" applyBorder="1" applyAlignment="1">
      <alignment vertical="top"/>
    </xf>
    <xf numFmtId="0" fontId="24" fillId="10" borderId="13" xfId="0" applyFont="1" applyFill="1" applyBorder="1" applyAlignment="1">
      <alignment vertical="top" wrapText="1"/>
    </xf>
    <xf numFmtId="0" fontId="24" fillId="10" borderId="56" xfId="0" applyFont="1" applyFill="1" applyBorder="1" applyAlignment="1">
      <alignment vertical="top" wrapText="1"/>
    </xf>
    <xf numFmtId="0" fontId="28" fillId="10" borderId="69" xfId="0" applyFont="1" applyFill="1" applyBorder="1" applyAlignment="1">
      <alignment horizontal="center" wrapText="1"/>
    </xf>
    <xf numFmtId="165" fontId="0" fillId="10" borderId="61" xfId="1" applyNumberFormat="1" applyFont="1" applyFill="1" applyBorder="1"/>
    <xf numFmtId="165" fontId="0" fillId="10" borderId="62" xfId="1" applyNumberFormat="1" applyFont="1" applyFill="1" applyBorder="1"/>
    <xf numFmtId="165" fontId="0" fillId="10" borderId="6" xfId="1" applyNumberFormat="1" applyFont="1" applyFill="1" applyBorder="1"/>
    <xf numFmtId="165" fontId="0" fillId="10" borderId="46" xfId="1" applyNumberFormat="1" applyFont="1" applyFill="1" applyBorder="1"/>
    <xf numFmtId="3" fontId="0" fillId="10" borderId="46" xfId="0" applyNumberFormat="1" applyFill="1" applyBorder="1"/>
    <xf numFmtId="3" fontId="31" fillId="10" borderId="76" xfId="0" applyNumberFormat="1" applyFont="1" applyFill="1" applyBorder="1"/>
    <xf numFmtId="0" fontId="2" fillId="10" borderId="0" xfId="0" applyFont="1" applyFill="1" applyProtection="1">
      <protection locked="0"/>
    </xf>
    <xf numFmtId="0" fontId="0" fillId="10" borderId="0" xfId="0" applyFill="1" applyProtection="1">
      <protection locked="0"/>
    </xf>
    <xf numFmtId="0" fontId="24" fillId="10" borderId="6" xfId="0" applyFont="1" applyFill="1" applyBorder="1" applyAlignment="1">
      <alignment vertical="top"/>
    </xf>
    <xf numFmtId="0" fontId="24" fillId="10" borderId="6" xfId="0" applyFont="1" applyFill="1" applyBorder="1" applyAlignment="1">
      <alignment vertical="top" wrapText="1"/>
    </xf>
    <xf numFmtId="0" fontId="30" fillId="10" borderId="6" xfId="0" applyFont="1" applyFill="1" applyBorder="1" applyAlignment="1">
      <alignment horizontal="center" wrapText="1"/>
    </xf>
    <xf numFmtId="165" fontId="3" fillId="10" borderId="6" xfId="1" applyNumberFormat="1" applyFont="1" applyFill="1" applyBorder="1"/>
    <xf numFmtId="0" fontId="2" fillId="10" borderId="19" xfId="0" applyFont="1" applyFill="1" applyBorder="1" applyProtection="1"/>
    <xf numFmtId="167" fontId="10" fillId="2" borderId="54" xfId="1" applyNumberFormat="1" applyFont="1" applyFill="1" applyBorder="1" applyProtection="1"/>
    <xf numFmtId="167" fontId="10" fillId="2" borderId="52" xfId="1" applyNumberFormat="1" applyFont="1" applyFill="1" applyBorder="1" applyProtection="1"/>
    <xf numFmtId="167" fontId="10" fillId="2" borderId="55" xfId="1" applyNumberFormat="1" applyFont="1" applyFill="1" applyBorder="1" applyProtection="1"/>
    <xf numFmtId="165" fontId="13" fillId="2" borderId="22" xfId="1" applyNumberFormat="1" applyFont="1" applyFill="1" applyBorder="1" applyAlignment="1" applyProtection="1">
      <alignment horizontal="center" vertical="center" wrapText="1"/>
    </xf>
    <xf numFmtId="0" fontId="13" fillId="2" borderId="22" xfId="0" applyFont="1" applyFill="1" applyBorder="1" applyAlignment="1" applyProtection="1">
      <alignment horizontal="right" wrapText="1"/>
    </xf>
    <xf numFmtId="167" fontId="10" fillId="4" borderId="22" xfId="1" applyNumberFormat="1" applyFont="1" applyFill="1" applyBorder="1" applyAlignment="1" applyProtection="1">
      <alignment horizontal="right" wrapText="1"/>
      <protection locked="0"/>
    </xf>
    <xf numFmtId="0" fontId="13" fillId="2" borderId="28" xfId="0" applyFont="1" applyFill="1" applyBorder="1" applyAlignment="1" applyProtection="1">
      <alignment horizontal="right" wrapText="1"/>
    </xf>
    <xf numFmtId="165" fontId="14" fillId="4" borderId="28" xfId="0" applyNumberFormat="1" applyFont="1" applyFill="1" applyBorder="1" applyAlignment="1" applyProtection="1">
      <alignment horizontal="right" wrapText="1"/>
      <protection locked="0"/>
    </xf>
    <xf numFmtId="0" fontId="13" fillId="2" borderId="33" xfId="0" applyFont="1" applyFill="1" applyBorder="1" applyAlignment="1" applyProtection="1">
      <alignment horizontal="right" wrapText="1"/>
    </xf>
    <xf numFmtId="0" fontId="14" fillId="4" borderId="33" xfId="0" applyFont="1" applyFill="1" applyBorder="1" applyAlignment="1" applyProtection="1">
      <alignment horizontal="right" wrapText="1"/>
      <protection locked="0"/>
    </xf>
    <xf numFmtId="0" fontId="0" fillId="8" borderId="0" xfId="0" applyFill="1"/>
    <xf numFmtId="1" fontId="29" fillId="8" borderId="135" xfId="0" applyNumberFormat="1" applyFont="1" applyFill="1" applyBorder="1" applyAlignment="1">
      <alignment horizontal="left" wrapText="1"/>
    </xf>
    <xf numFmtId="0" fontId="2" fillId="8" borderId="0" xfId="0" applyFont="1" applyFill="1" applyAlignment="1"/>
    <xf numFmtId="3" fontId="2" fillId="7" borderId="38" xfId="0" applyNumberFormat="1" applyFont="1" applyFill="1" applyBorder="1"/>
    <xf numFmtId="3" fontId="2" fillId="7" borderId="76" xfId="0" applyNumberFormat="1" applyFont="1" applyFill="1" applyBorder="1"/>
    <xf numFmtId="3" fontId="2" fillId="7" borderId="39" xfId="0" applyNumberFormat="1" applyFont="1" applyFill="1" applyBorder="1"/>
    <xf numFmtId="0" fontId="29" fillId="8" borderId="118" xfId="0" applyFont="1" applyFill="1" applyBorder="1" applyAlignment="1">
      <alignment horizontal="left" wrapText="1"/>
    </xf>
    <xf numFmtId="0" fontId="2" fillId="8" borderId="42" xfId="0" applyFont="1" applyFill="1" applyBorder="1" applyAlignment="1"/>
    <xf numFmtId="0" fontId="2" fillId="8" borderId="20" xfId="0" applyFont="1" applyFill="1" applyBorder="1" applyAlignment="1"/>
    <xf numFmtId="0" fontId="16" fillId="3" borderId="0" xfId="0" applyFont="1" applyFill="1" applyBorder="1" applyAlignment="1" applyProtection="1">
      <alignment vertical="top"/>
    </xf>
    <xf numFmtId="0" fontId="48" fillId="3" borderId="0" xfId="0" applyFont="1" applyFill="1" applyBorder="1" applyAlignment="1" applyProtection="1">
      <alignment horizontal="left" vertical="top"/>
    </xf>
    <xf numFmtId="0" fontId="12" fillId="2" borderId="42" xfId="0" applyFont="1" applyFill="1" applyBorder="1" applyAlignment="1" applyProtection="1">
      <alignment vertical="top" wrapText="1"/>
    </xf>
    <xf numFmtId="169" fontId="8" fillId="0" borderId="22" xfId="0" applyNumberFormat="1" applyFont="1" applyFill="1" applyBorder="1" applyAlignment="1" applyProtection="1">
      <alignment horizontal="center" vertical="center" wrapText="1"/>
      <protection locked="0"/>
    </xf>
    <xf numFmtId="3" fontId="0" fillId="10" borderId="0" xfId="0" applyNumberFormat="1" applyFill="1"/>
    <xf numFmtId="3" fontId="0" fillId="0" borderId="0" xfId="0" applyNumberFormat="1"/>
    <xf numFmtId="0" fontId="34" fillId="3" borderId="23" xfId="0" applyFont="1" applyFill="1" applyBorder="1" applyProtection="1"/>
    <xf numFmtId="165" fontId="34" fillId="3" borderId="23" xfId="1" applyNumberFormat="1" applyFont="1" applyFill="1" applyBorder="1" applyProtection="1"/>
    <xf numFmtId="165" fontId="34" fillId="3" borderId="25" xfId="1" applyNumberFormat="1" applyFont="1" applyFill="1" applyBorder="1" applyProtection="1"/>
    <xf numFmtId="165" fontId="8" fillId="3" borderId="23" xfId="1" applyNumberFormat="1" applyFont="1" applyFill="1" applyBorder="1" applyProtection="1">
      <protection locked="0"/>
    </xf>
    <xf numFmtId="165" fontId="8" fillId="3" borderId="25" xfId="1" applyNumberFormat="1" applyFont="1" applyFill="1" applyBorder="1" applyProtection="1">
      <protection locked="0"/>
    </xf>
    <xf numFmtId="0" fontId="34" fillId="2" borderId="7" xfId="0" applyFont="1" applyFill="1" applyBorder="1" applyProtection="1"/>
    <xf numFmtId="0" fontId="34" fillId="2" borderId="15" xfId="0" applyFont="1" applyFill="1" applyBorder="1" applyProtection="1"/>
    <xf numFmtId="173" fontId="0" fillId="0" borderId="0" xfId="0" applyNumberFormat="1"/>
    <xf numFmtId="0" fontId="0" fillId="0" borderId="0" xfId="0" pivotButton="1"/>
    <xf numFmtId="0" fontId="46" fillId="0" borderId="0" xfId="0" applyFont="1" applyBorder="1"/>
    <xf numFmtId="0" fontId="46" fillId="11" borderId="0" xfId="0" applyFont="1" applyFill="1" applyBorder="1"/>
    <xf numFmtId="3" fontId="46" fillId="0" borderId="94" xfId="0" applyNumberFormat="1" applyFont="1" applyFill="1" applyBorder="1"/>
    <xf numFmtId="173" fontId="0" fillId="3" borderId="111" xfId="0" applyNumberFormat="1" applyFill="1" applyBorder="1" applyAlignment="1">
      <alignment horizontal="center"/>
    </xf>
    <xf numFmtId="174" fontId="0" fillId="3" borderId="111" xfId="2" applyNumberFormat="1" applyFont="1" applyFill="1" applyBorder="1" applyAlignment="1">
      <alignment horizontal="center"/>
    </xf>
    <xf numFmtId="0" fontId="6" fillId="3" borderId="19" xfId="0" applyFont="1" applyFill="1" applyBorder="1" applyProtection="1"/>
    <xf numFmtId="0" fontId="8" fillId="3" borderId="42" xfId="0" applyFont="1" applyFill="1" applyBorder="1" applyProtection="1"/>
    <xf numFmtId="0" fontId="10" fillId="3" borderId="23" xfId="0" applyFont="1" applyFill="1" applyBorder="1" applyProtection="1"/>
    <xf numFmtId="0" fontId="0" fillId="3" borderId="23" xfId="0" applyFill="1" applyBorder="1"/>
    <xf numFmtId="0" fontId="0" fillId="3" borderId="24" xfId="0" applyFill="1" applyBorder="1"/>
    <xf numFmtId="173" fontId="0" fillId="3" borderId="110" xfId="0" applyNumberFormat="1" applyFill="1" applyBorder="1" applyAlignment="1">
      <alignment horizontal="center"/>
    </xf>
    <xf numFmtId="174" fontId="0" fillId="3" borderId="110" xfId="2" applyNumberFormat="1" applyFont="1" applyFill="1" applyBorder="1" applyAlignment="1">
      <alignment horizontal="center"/>
    </xf>
    <xf numFmtId="0" fontId="2" fillId="3" borderId="23" xfId="0" applyFont="1" applyFill="1" applyBorder="1"/>
    <xf numFmtId="0" fontId="49" fillId="3" borderId="23" xfId="0" applyFont="1" applyFill="1" applyBorder="1"/>
    <xf numFmtId="0" fontId="0" fillId="3" borderId="38" xfId="0" applyFill="1" applyBorder="1"/>
    <xf numFmtId="0" fontId="2" fillId="3" borderId="19" xfId="0" applyFont="1" applyFill="1" applyBorder="1"/>
    <xf numFmtId="173" fontId="0" fillId="3" borderId="136" xfId="0" applyNumberFormat="1" applyFill="1" applyBorder="1" applyAlignment="1">
      <alignment horizontal="center"/>
    </xf>
    <xf numFmtId="0" fontId="8" fillId="3" borderId="20" xfId="0" applyFont="1" applyFill="1" applyBorder="1" applyProtection="1"/>
    <xf numFmtId="0" fontId="8" fillId="3" borderId="24" xfId="0" applyFont="1" applyFill="1" applyBorder="1" applyProtection="1"/>
    <xf numFmtId="0" fontId="0" fillId="3" borderId="20" xfId="0" applyFill="1" applyBorder="1"/>
    <xf numFmtId="0" fontId="0" fillId="3" borderId="39" xfId="0" applyFill="1" applyBorder="1"/>
    <xf numFmtId="173" fontId="0" fillId="3" borderId="138" xfId="0" applyNumberFormat="1" applyFill="1" applyBorder="1" applyAlignment="1">
      <alignment horizontal="center"/>
    </xf>
    <xf numFmtId="174" fontId="0" fillId="3" borderId="138" xfId="2" applyNumberFormat="1" applyFont="1" applyFill="1" applyBorder="1" applyAlignment="1">
      <alignment horizontal="center"/>
    </xf>
    <xf numFmtId="173" fontId="0" fillId="3" borderId="139" xfId="0" applyNumberFormat="1" applyFill="1" applyBorder="1" applyAlignment="1">
      <alignment horizontal="center"/>
    </xf>
    <xf numFmtId="0" fontId="29" fillId="8" borderId="18" xfId="0" applyFont="1" applyFill="1" applyBorder="1" applyAlignment="1">
      <alignment horizontal="left" vertical="center" wrapText="1"/>
    </xf>
    <xf numFmtId="0" fontId="0" fillId="7" borderId="132" xfId="0" applyFill="1" applyBorder="1"/>
    <xf numFmtId="3" fontId="0" fillId="7" borderId="0" xfId="0" applyNumberFormat="1" applyFill="1"/>
    <xf numFmtId="0" fontId="2" fillId="8" borderId="37" xfId="0" applyFont="1" applyFill="1" applyBorder="1"/>
    <xf numFmtId="0" fontId="2" fillId="8" borderId="21" xfId="0" applyFont="1" applyFill="1" applyBorder="1"/>
    <xf numFmtId="0" fontId="0" fillId="7" borderId="88" xfId="0" applyFill="1" applyBorder="1"/>
    <xf numFmtId="1" fontId="29" fillId="8" borderId="141" xfId="0" applyNumberFormat="1" applyFont="1" applyFill="1" applyBorder="1" applyAlignment="1">
      <alignment horizontal="center" vertical="center" wrapText="1"/>
    </xf>
    <xf numFmtId="1" fontId="29" fillId="8" borderId="142" xfId="0" applyNumberFormat="1" applyFont="1" applyFill="1" applyBorder="1" applyAlignment="1">
      <alignment horizontal="center" vertical="center" wrapText="1"/>
    </xf>
    <xf numFmtId="172" fontId="29" fillId="12" borderId="21" xfId="2" applyNumberFormat="1" applyFont="1" applyFill="1" applyBorder="1" applyAlignment="1">
      <alignment horizontal="left" vertical="center" wrapText="1"/>
    </xf>
    <xf numFmtId="172" fontId="29" fillId="12" borderId="140" xfId="2" applyNumberFormat="1" applyFont="1" applyFill="1" applyBorder="1" applyAlignment="1">
      <alignment horizontal="left" vertical="center" wrapText="1"/>
    </xf>
    <xf numFmtId="172" fontId="3" fillId="12" borderId="6" xfId="2" applyNumberFormat="1" applyFont="1" applyFill="1" applyBorder="1"/>
    <xf numFmtId="172" fontId="29" fillId="12" borderId="6" xfId="2" applyNumberFormat="1" applyFont="1" applyFill="1" applyBorder="1"/>
    <xf numFmtId="1" fontId="29" fillId="8" borderId="143" xfId="0" applyNumberFormat="1" applyFont="1" applyFill="1" applyBorder="1" applyAlignment="1">
      <alignment horizontal="left" vertical="center" wrapText="1"/>
    </xf>
    <xf numFmtId="1" fontId="29" fillId="8" borderId="144" xfId="0" applyNumberFormat="1" applyFont="1" applyFill="1" applyBorder="1" applyAlignment="1">
      <alignment horizontal="left" vertical="center" wrapText="1"/>
    </xf>
    <xf numFmtId="172" fontId="0" fillId="7" borderId="0" xfId="0" applyNumberFormat="1" applyFill="1"/>
    <xf numFmtId="173" fontId="0" fillId="3" borderId="145" xfId="0" applyNumberFormat="1" applyFill="1" applyBorder="1" applyAlignment="1">
      <alignment horizontal="center"/>
    </xf>
    <xf numFmtId="173" fontId="0" fillId="3" borderId="146" xfId="0" applyNumberFormat="1" applyFill="1" applyBorder="1" applyAlignment="1">
      <alignment horizontal="center"/>
    </xf>
    <xf numFmtId="173" fontId="0" fillId="3" borderId="147" xfId="0" applyNumberFormat="1" applyFill="1" applyBorder="1" applyAlignment="1">
      <alignment horizontal="center"/>
    </xf>
    <xf numFmtId="0" fontId="50" fillId="3" borderId="23" xfId="0" applyFont="1" applyFill="1" applyBorder="1" applyProtection="1"/>
    <xf numFmtId="173" fontId="3" fillId="3" borderId="138" xfId="0" applyNumberFormat="1" applyFont="1" applyFill="1" applyBorder="1" applyAlignment="1">
      <alignment horizontal="center"/>
    </xf>
    <xf numFmtId="173" fontId="3" fillId="3" borderId="111" xfId="0" applyNumberFormat="1" applyFont="1" applyFill="1" applyBorder="1" applyAlignment="1">
      <alignment horizontal="center"/>
    </xf>
    <xf numFmtId="173" fontId="3" fillId="3" borderId="110" xfId="0" applyNumberFormat="1" applyFont="1" applyFill="1" applyBorder="1" applyAlignment="1">
      <alignment horizontal="center"/>
    </xf>
    <xf numFmtId="165" fontId="51" fillId="3" borderId="138" xfId="1" applyNumberFormat="1" applyFont="1" applyFill="1" applyBorder="1" applyAlignment="1">
      <alignment horizontal="center"/>
    </xf>
    <xf numFmtId="165" fontId="51" fillId="3" borderId="111" xfId="1" applyNumberFormat="1" applyFont="1" applyFill="1" applyBorder="1" applyAlignment="1">
      <alignment horizontal="center"/>
    </xf>
    <xf numFmtId="165" fontId="51" fillId="3" borderId="24" xfId="1" applyNumberFormat="1" applyFont="1" applyFill="1" applyBorder="1"/>
    <xf numFmtId="165" fontId="51" fillId="3" borderId="110" xfId="1" applyNumberFormat="1" applyFont="1" applyFill="1" applyBorder="1" applyAlignment="1">
      <alignment horizontal="center"/>
    </xf>
    <xf numFmtId="0" fontId="0" fillId="3" borderId="148" xfId="0" applyFill="1" applyBorder="1" applyAlignment="1">
      <alignment horizontal="center"/>
    </xf>
    <xf numFmtId="0" fontId="0" fillId="3" borderId="86" xfId="0" applyFill="1" applyBorder="1" applyAlignment="1">
      <alignment horizontal="center"/>
    </xf>
    <xf numFmtId="0" fontId="0" fillId="3" borderId="87" xfId="0" applyFill="1" applyBorder="1" applyAlignment="1">
      <alignment horizontal="center"/>
    </xf>
    <xf numFmtId="0" fontId="0" fillId="3" borderId="19" xfId="0" applyFill="1" applyBorder="1"/>
    <xf numFmtId="173" fontId="0" fillId="3" borderId="137" xfId="0" applyNumberFormat="1" applyFill="1" applyBorder="1" applyAlignment="1">
      <alignment horizontal="center"/>
    </xf>
    <xf numFmtId="0" fontId="12" fillId="2" borderId="37" xfId="0" applyFont="1" applyFill="1" applyBorder="1" applyAlignment="1" applyProtection="1">
      <alignment horizontal="right" vertical="top" wrapText="1"/>
    </xf>
    <xf numFmtId="0" fontId="8" fillId="4" borderId="72" xfId="0" applyFont="1" applyFill="1" applyBorder="1" applyProtection="1"/>
    <xf numFmtId="0" fontId="8" fillId="4" borderId="18" xfId="0" applyFont="1" applyFill="1" applyBorder="1" applyProtection="1"/>
    <xf numFmtId="0" fontId="0" fillId="13" borderId="37" xfId="0" applyFill="1" applyBorder="1" applyProtection="1"/>
    <xf numFmtId="165" fontId="8" fillId="2" borderId="17" xfId="1" applyNumberFormat="1" applyFont="1" applyFill="1" applyBorder="1" applyProtection="1"/>
    <xf numFmtId="165" fontId="8" fillId="2" borderId="37" xfId="1" applyNumberFormat="1" applyFont="1" applyFill="1" applyBorder="1" applyProtection="1"/>
    <xf numFmtId="0" fontId="9" fillId="2" borderId="18" xfId="0" applyFont="1" applyFill="1" applyBorder="1" applyAlignment="1" applyProtection="1">
      <alignment vertical="center" wrapText="1"/>
    </xf>
    <xf numFmtId="172" fontId="10" fillId="3" borderId="0" xfId="2" applyNumberFormat="1" applyFont="1" applyFill="1" applyBorder="1" applyAlignment="1" applyProtection="1">
      <alignment horizontal="right" vertical="center" wrapText="1"/>
    </xf>
    <xf numFmtId="172" fontId="14" fillId="3" borderId="0" xfId="2" applyNumberFormat="1" applyFont="1" applyFill="1" applyBorder="1" applyAlignment="1" applyProtection="1">
      <alignment horizontal="right" wrapText="1"/>
    </xf>
    <xf numFmtId="0" fontId="52" fillId="3" borderId="0" xfId="0" applyFont="1" applyFill="1" applyProtection="1"/>
    <xf numFmtId="6" fontId="0" fillId="3" borderId="0" xfId="0" applyNumberFormat="1" applyFill="1"/>
    <xf numFmtId="173" fontId="0" fillId="3" borderId="0" xfId="0" applyNumberFormat="1" applyFill="1"/>
    <xf numFmtId="165" fontId="34" fillId="2" borderId="54" xfId="1" applyNumberFormat="1" applyFont="1" applyFill="1" applyBorder="1" applyAlignment="1" applyProtection="1">
      <alignment horizontal="center" vertical="center" wrapText="1"/>
    </xf>
    <xf numFmtId="165" fontId="34" fillId="2" borderId="52" xfId="1" applyNumberFormat="1" applyFont="1" applyFill="1" applyBorder="1" applyAlignment="1" applyProtection="1">
      <alignment horizontal="center" vertical="center" wrapText="1"/>
    </xf>
    <xf numFmtId="165" fontId="34" fillId="2" borderId="53" xfId="1" applyNumberFormat="1" applyFont="1" applyFill="1" applyBorder="1" applyAlignment="1" applyProtection="1">
      <alignment horizontal="center" vertical="center" wrapText="1"/>
    </xf>
    <xf numFmtId="165" fontId="34" fillId="2" borderId="22" xfId="1" applyNumberFormat="1" applyFont="1" applyFill="1" applyBorder="1" applyAlignment="1" applyProtection="1">
      <alignment horizontal="center" vertical="center" wrapText="1"/>
    </xf>
    <xf numFmtId="165" fontId="8" fillId="4" borderId="52" xfId="1" applyNumberFormat="1" applyFont="1" applyFill="1" applyBorder="1" applyAlignment="1" applyProtection="1">
      <alignment horizontal="right"/>
      <protection locked="0"/>
    </xf>
    <xf numFmtId="165" fontId="8" fillId="4" borderId="55" xfId="1" applyNumberFormat="1" applyFont="1" applyFill="1" applyBorder="1" applyAlignment="1" applyProtection="1">
      <alignment horizontal="right"/>
      <protection locked="0"/>
    </xf>
    <xf numFmtId="165" fontId="8" fillId="4" borderId="6" xfId="1" applyNumberFormat="1" applyFont="1" applyFill="1" applyBorder="1" applyAlignment="1" applyProtection="1">
      <alignment horizontal="right"/>
      <protection locked="0"/>
    </xf>
    <xf numFmtId="165" fontId="8" fillId="4" borderId="46" xfId="1" applyNumberFormat="1" applyFont="1" applyFill="1" applyBorder="1" applyAlignment="1" applyProtection="1">
      <alignment horizontal="right"/>
      <protection locked="0"/>
    </xf>
    <xf numFmtId="165" fontId="8" fillId="4" borderId="58" xfId="1" applyNumberFormat="1" applyFont="1" applyFill="1" applyBorder="1" applyAlignment="1" applyProtection="1">
      <alignment horizontal="right"/>
      <protection locked="0"/>
    </xf>
    <xf numFmtId="165" fontId="8" fillId="4" borderId="59" xfId="1" applyNumberFormat="1" applyFont="1" applyFill="1" applyBorder="1" applyAlignment="1" applyProtection="1">
      <alignment horizontal="right"/>
      <protection locked="0"/>
    </xf>
    <xf numFmtId="0" fontId="8" fillId="4" borderId="72" xfId="0" applyFont="1" applyFill="1" applyBorder="1" applyAlignment="1" applyProtection="1">
      <alignment vertical="top" wrapText="1"/>
    </xf>
    <xf numFmtId="165" fontId="8" fillId="2" borderId="45" xfId="1" applyNumberFormat="1" applyFont="1" applyFill="1" applyBorder="1" applyAlignment="1" applyProtection="1">
      <alignment horizontal="right" vertical="center" wrapText="1"/>
    </xf>
    <xf numFmtId="165" fontId="8" fillId="2" borderId="6" xfId="1" applyNumberFormat="1" applyFont="1" applyFill="1" applyBorder="1" applyAlignment="1" applyProtection="1">
      <alignment horizontal="right" vertical="center" wrapText="1"/>
    </xf>
    <xf numFmtId="165" fontId="8" fillId="2" borderId="2" xfId="1" applyNumberFormat="1" applyFont="1" applyFill="1" applyBorder="1" applyAlignment="1" applyProtection="1">
      <alignment horizontal="right" vertical="center" wrapText="1"/>
    </xf>
    <xf numFmtId="0" fontId="8" fillId="3" borderId="0" xfId="0" applyFont="1" applyFill="1" applyBorder="1" applyAlignment="1" applyProtection="1">
      <alignment vertical="top" wrapText="1"/>
    </xf>
    <xf numFmtId="165" fontId="8" fillId="2" borderId="54" xfId="1" applyNumberFormat="1" applyFont="1" applyFill="1" applyBorder="1" applyAlignment="1" applyProtection="1">
      <alignment horizontal="right"/>
    </xf>
    <xf numFmtId="172" fontId="8" fillId="2" borderId="27" xfId="2" applyNumberFormat="1" applyFont="1" applyFill="1" applyBorder="1" applyAlignment="1" applyProtection="1"/>
    <xf numFmtId="172" fontId="8" fillId="2" borderId="26" xfId="2" applyNumberFormat="1" applyFont="1" applyFill="1" applyBorder="1" applyAlignment="1" applyProtection="1"/>
    <xf numFmtId="165" fontId="8" fillId="2" borderId="54" xfId="1" applyNumberFormat="1" applyFont="1" applyFill="1" applyBorder="1" applyAlignment="1" applyProtection="1"/>
    <xf numFmtId="165" fontId="8" fillId="2" borderId="52" xfId="1" applyNumberFormat="1" applyFont="1" applyFill="1" applyBorder="1" applyAlignment="1" applyProtection="1"/>
    <xf numFmtId="165" fontId="8" fillId="2" borderId="55" xfId="1" applyNumberFormat="1" applyFont="1" applyFill="1" applyBorder="1" applyAlignment="1" applyProtection="1"/>
    <xf numFmtId="165" fontId="8" fillId="2" borderId="45" xfId="1" applyNumberFormat="1" applyFont="1" applyFill="1" applyBorder="1" applyAlignment="1" applyProtection="1">
      <alignment horizontal="right"/>
    </xf>
    <xf numFmtId="172" fontId="8" fillId="2" borderId="88" xfId="2" applyNumberFormat="1" applyFont="1" applyFill="1" applyBorder="1" applyAlignment="1" applyProtection="1"/>
    <xf numFmtId="172" fontId="8" fillId="2" borderId="130" xfId="2" applyNumberFormat="1" applyFont="1" applyFill="1" applyBorder="1" applyAlignment="1" applyProtection="1"/>
    <xf numFmtId="165" fontId="8" fillId="2" borderId="45" xfId="1" applyNumberFormat="1" applyFont="1" applyFill="1" applyBorder="1" applyAlignment="1" applyProtection="1"/>
    <xf numFmtId="165" fontId="8" fillId="2" borderId="6" xfId="1" applyNumberFormat="1" applyFont="1" applyFill="1" applyBorder="1" applyAlignment="1" applyProtection="1"/>
    <xf numFmtId="165" fontId="8" fillId="2" borderId="46" xfId="1" applyNumberFormat="1" applyFont="1" applyFill="1" applyBorder="1" applyAlignment="1" applyProtection="1"/>
    <xf numFmtId="165" fontId="8" fillId="2" borderId="57" xfId="1" applyNumberFormat="1" applyFont="1" applyFill="1" applyBorder="1" applyAlignment="1" applyProtection="1">
      <alignment horizontal="right"/>
    </xf>
    <xf numFmtId="172" fontId="8" fillId="2" borderId="76" xfId="2" applyNumberFormat="1" applyFont="1" applyFill="1" applyBorder="1" applyAlignment="1" applyProtection="1"/>
    <xf numFmtId="172" fontId="8" fillId="2" borderId="38" xfId="2" applyNumberFormat="1" applyFont="1" applyFill="1" applyBorder="1" applyAlignment="1" applyProtection="1"/>
    <xf numFmtId="0" fontId="54" fillId="3" borderId="0" xfId="0" applyFont="1" applyFill="1" applyBorder="1" applyAlignment="1" applyProtection="1">
      <alignment horizontal="right"/>
    </xf>
    <xf numFmtId="9" fontId="34" fillId="3" borderId="0" xfId="0" applyNumberFormat="1" applyFont="1" applyFill="1" applyProtection="1"/>
    <xf numFmtId="165" fontId="34" fillId="3" borderId="0" xfId="0" applyNumberFormat="1" applyFont="1" applyFill="1" applyProtection="1"/>
    <xf numFmtId="0" fontId="2" fillId="3" borderId="0" xfId="0" applyFont="1" applyFill="1" applyProtection="1"/>
    <xf numFmtId="0" fontId="55" fillId="2" borderId="149" xfId="0" applyFont="1" applyFill="1" applyBorder="1" applyAlignment="1" applyProtection="1">
      <alignment horizontal="center" vertical="center" wrapText="1"/>
    </xf>
    <xf numFmtId="0" fontId="55" fillId="2" borderId="141" xfId="0" applyFont="1" applyFill="1" applyBorder="1" applyAlignment="1" applyProtection="1">
      <alignment horizontal="center" vertical="center" wrapText="1"/>
    </xf>
    <xf numFmtId="0" fontId="55" fillId="2" borderId="142" xfId="0" applyFont="1" applyFill="1" applyBorder="1" applyAlignment="1" applyProtection="1">
      <alignment horizontal="center" vertical="center" wrapText="1"/>
    </xf>
    <xf numFmtId="0" fontId="55" fillId="2" borderId="19" xfId="0" applyFont="1" applyFill="1" applyBorder="1" applyAlignment="1" applyProtection="1">
      <alignment horizontal="center" vertical="center" wrapText="1"/>
    </xf>
    <xf numFmtId="165" fontId="8" fillId="2" borderId="57" xfId="1" applyNumberFormat="1" applyFont="1" applyFill="1" applyBorder="1" applyAlignment="1" applyProtection="1"/>
    <xf numFmtId="165" fontId="8" fillId="2" borderId="58" xfId="1" applyNumberFormat="1" applyFont="1" applyFill="1" applyBorder="1" applyAlignment="1" applyProtection="1"/>
    <xf numFmtId="165" fontId="8" fillId="2" borderId="59" xfId="1" applyNumberFormat="1" applyFont="1" applyFill="1" applyBorder="1" applyAlignment="1" applyProtection="1"/>
    <xf numFmtId="0" fontId="8" fillId="4" borderId="72" xfId="0" applyFont="1" applyFill="1" applyBorder="1" applyAlignment="1" applyProtection="1"/>
    <xf numFmtId="0" fontId="18" fillId="4" borderId="37" xfId="0" applyFont="1" applyFill="1" applyBorder="1" applyAlignment="1" applyProtection="1">
      <alignment horizontal="center" vertical="top" wrapText="1"/>
      <protection locked="0"/>
    </xf>
    <xf numFmtId="165" fontId="31" fillId="3" borderId="0" xfId="0" applyNumberFormat="1" applyFont="1" applyFill="1" applyBorder="1" applyProtection="1"/>
    <xf numFmtId="165" fontId="31" fillId="3" borderId="0" xfId="0" applyNumberFormat="1" applyFont="1" applyFill="1" applyProtection="1"/>
    <xf numFmtId="167" fontId="31" fillId="3" borderId="0" xfId="0" applyNumberFormat="1" applyFont="1" applyFill="1" applyProtection="1"/>
    <xf numFmtId="165" fontId="8" fillId="0" borderId="73" xfId="1" applyNumberFormat="1" applyFont="1" applyFill="1" applyBorder="1" applyProtection="1">
      <protection locked="0"/>
    </xf>
    <xf numFmtId="165" fontId="8" fillId="0" borderId="68" xfId="1" applyNumberFormat="1" applyFont="1" applyFill="1" applyBorder="1" applyProtection="1">
      <protection locked="0"/>
    </xf>
    <xf numFmtId="165" fontId="34" fillId="2" borderId="60" xfId="1" applyNumberFormat="1" applyFont="1" applyFill="1" applyBorder="1" applyAlignment="1" applyProtection="1">
      <alignment horizontal="center" vertical="center" wrapText="1"/>
    </xf>
    <xf numFmtId="165" fontId="34" fillId="2" borderId="61" xfId="1" applyNumberFormat="1" applyFont="1" applyFill="1" applyBorder="1" applyAlignment="1" applyProtection="1">
      <alignment horizontal="center" vertical="center" wrapText="1"/>
    </xf>
    <xf numFmtId="165" fontId="34" fillId="2" borderId="62" xfId="1" applyNumberFormat="1" applyFont="1" applyFill="1" applyBorder="1" applyAlignment="1" applyProtection="1">
      <alignment horizontal="center" vertical="center" wrapText="1"/>
    </xf>
    <xf numFmtId="0" fontId="17" fillId="3" borderId="0" xfId="0" applyFont="1" applyFill="1" applyProtection="1"/>
    <xf numFmtId="0" fontId="17" fillId="3" borderId="0" xfId="0" applyFont="1" applyFill="1" applyBorder="1" applyAlignment="1" applyProtection="1">
      <alignment horizontal="left" vertical="center"/>
    </xf>
    <xf numFmtId="0" fontId="8" fillId="4" borderId="17" xfId="0" applyFont="1" applyFill="1" applyBorder="1" applyAlignment="1" applyProtection="1">
      <alignment vertical="top"/>
      <protection locked="0"/>
    </xf>
    <xf numFmtId="0" fontId="0" fillId="3" borderId="138" xfId="0" applyFill="1" applyBorder="1" applyAlignment="1">
      <alignment horizontal="center"/>
    </xf>
    <xf numFmtId="0" fontId="0" fillId="3" borderId="111" xfId="0" applyFill="1" applyBorder="1" applyAlignment="1">
      <alignment horizontal="center"/>
    </xf>
    <xf numFmtId="0" fontId="0" fillId="3" borderId="110" xfId="0" applyFill="1" applyBorder="1" applyAlignment="1">
      <alignment horizontal="center"/>
    </xf>
    <xf numFmtId="0" fontId="56" fillId="3" borderId="20" xfId="0" applyFont="1" applyFill="1" applyBorder="1" applyAlignment="1">
      <alignment horizontal="center"/>
    </xf>
    <xf numFmtId="173" fontId="0" fillId="3" borderId="24" xfId="0" applyNumberFormat="1" applyFill="1" applyBorder="1"/>
    <xf numFmtId="174" fontId="0" fillId="3" borderId="151" xfId="2" applyNumberFormat="1" applyFont="1" applyFill="1" applyBorder="1"/>
    <xf numFmtId="173" fontId="0" fillId="3" borderId="39" xfId="0" applyNumberFormat="1" applyFill="1" applyBorder="1"/>
    <xf numFmtId="173" fontId="0" fillId="3" borderId="151" xfId="0" applyNumberFormat="1" applyFill="1" applyBorder="1"/>
    <xf numFmtId="0" fontId="44" fillId="3" borderId="0" xfId="0" applyFont="1" applyFill="1"/>
    <xf numFmtId="0" fontId="34" fillId="2" borderId="7" xfId="0" applyFont="1" applyFill="1" applyBorder="1" applyAlignment="1" applyProtection="1">
      <alignment horizontal="center" wrapText="1"/>
    </xf>
    <xf numFmtId="0" fontId="34" fillId="2" borderId="5" xfId="0" applyFont="1" applyFill="1" applyBorder="1" applyAlignment="1" applyProtection="1">
      <alignment horizontal="center"/>
    </xf>
    <xf numFmtId="9" fontId="37" fillId="0" borderId="10" xfId="2" applyFont="1" applyFill="1" applyBorder="1" applyAlignment="1" applyProtection="1">
      <alignment wrapText="1"/>
      <protection locked="0"/>
    </xf>
    <xf numFmtId="0" fontId="34" fillId="2" borderId="0" xfId="0" applyFont="1" applyFill="1" applyBorder="1" applyAlignment="1" applyProtection="1">
      <alignment horizontal="center"/>
    </xf>
    <xf numFmtId="0" fontId="34" fillId="2" borderId="0" xfId="0" applyFont="1" applyFill="1" applyBorder="1" applyAlignment="1" applyProtection="1">
      <alignment wrapText="1"/>
    </xf>
    <xf numFmtId="166" fontId="37" fillId="0" borderId="0" xfId="0" applyNumberFormat="1" applyFont="1" applyFill="1" applyBorder="1" applyAlignment="1" applyProtection="1">
      <alignment wrapText="1"/>
      <protection locked="0"/>
    </xf>
    <xf numFmtId="173" fontId="3" fillId="3" borderId="137" xfId="0" applyNumberFormat="1" applyFont="1" applyFill="1" applyBorder="1" applyAlignment="1">
      <alignment horizontal="center"/>
    </xf>
    <xf numFmtId="0" fontId="57" fillId="3" borderId="0" xfId="0" applyFont="1" applyFill="1"/>
    <xf numFmtId="0" fontId="8" fillId="3" borderId="159" xfId="0" applyFont="1" applyFill="1" applyBorder="1" applyAlignment="1" applyProtection="1">
      <alignment horizontal="center" vertical="top" wrapText="1"/>
    </xf>
    <xf numFmtId="0" fontId="8" fillId="3" borderId="25" xfId="0" applyFont="1" applyFill="1" applyBorder="1" applyAlignment="1" applyProtection="1">
      <alignment horizontal="center"/>
    </xf>
    <xf numFmtId="166" fontId="8" fillId="3" borderId="165" xfId="0" applyNumberFormat="1" applyFont="1" applyFill="1" applyBorder="1" applyAlignment="1" applyProtection="1">
      <alignment horizontal="center"/>
    </xf>
    <xf numFmtId="166" fontId="8" fillId="3" borderId="166" xfId="0" applyNumberFormat="1" applyFont="1" applyFill="1" applyBorder="1" applyAlignment="1" applyProtection="1">
      <alignment horizontal="center"/>
    </xf>
    <xf numFmtId="166" fontId="8" fillId="3" borderId="167" xfId="0" applyNumberFormat="1" applyFont="1" applyFill="1" applyBorder="1" applyAlignment="1" applyProtection="1">
      <alignment horizontal="center"/>
    </xf>
    <xf numFmtId="166" fontId="34" fillId="3" borderId="37" xfId="0" applyNumberFormat="1" applyFont="1" applyFill="1" applyBorder="1" applyAlignment="1" applyProtection="1">
      <alignment horizontal="center"/>
    </xf>
    <xf numFmtId="0" fontId="8" fillId="3" borderId="164" xfId="0" applyFont="1" applyFill="1" applyBorder="1" applyAlignment="1" applyProtection="1">
      <alignment horizontal="center" wrapText="1"/>
    </xf>
    <xf numFmtId="0" fontId="0" fillId="3" borderId="31" xfId="0" applyFill="1" applyBorder="1"/>
    <xf numFmtId="166" fontId="8" fillId="0" borderId="133" xfId="0" applyNumberFormat="1" applyFont="1" applyFill="1" applyBorder="1" applyAlignment="1" applyProtection="1">
      <protection locked="0"/>
    </xf>
    <xf numFmtId="166" fontId="8" fillId="0" borderId="168" xfId="0" applyNumberFormat="1" applyFont="1" applyFill="1" applyBorder="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17" fillId="3" borderId="0" xfId="0" applyFont="1" applyFill="1" applyAlignment="1" applyProtection="1">
      <protection locked="0"/>
    </xf>
    <xf numFmtId="0" fontId="8" fillId="3" borderId="0" xfId="0" applyFont="1" applyFill="1" applyAlignment="1" applyProtection="1">
      <alignment vertical="top"/>
      <protection locked="0"/>
    </xf>
    <xf numFmtId="0" fontId="0" fillId="3" borderId="0" xfId="0" applyFill="1" applyAlignment="1" applyProtection="1">
      <alignment vertical="top"/>
      <protection locked="0"/>
    </xf>
    <xf numFmtId="0" fontId="0" fillId="3" borderId="0" xfId="0" applyFill="1" applyAlignment="1" applyProtection="1">
      <protection locked="0"/>
    </xf>
    <xf numFmtId="0" fontId="39" fillId="3" borderId="0" xfId="0" applyFont="1" applyFill="1" applyProtection="1">
      <protection locked="0"/>
    </xf>
    <xf numFmtId="0" fontId="31" fillId="3" borderId="0" xfId="0" applyFont="1" applyFill="1" applyProtection="1">
      <protection locked="0"/>
    </xf>
    <xf numFmtId="0" fontId="34" fillId="2" borderId="26" xfId="0" applyFont="1" applyFill="1" applyBorder="1" applyAlignment="1" applyProtection="1">
      <protection locked="0"/>
    </xf>
    <xf numFmtId="0" fontId="34" fillId="2" borderId="27" xfId="0" applyFont="1" applyFill="1" applyBorder="1" applyAlignment="1" applyProtection="1">
      <protection locked="0"/>
    </xf>
    <xf numFmtId="0" fontId="34" fillId="2" borderId="32" xfId="0" applyFont="1" applyFill="1" applyBorder="1" applyAlignment="1" applyProtection="1">
      <protection locked="0"/>
    </xf>
    <xf numFmtId="0" fontId="34" fillId="2" borderId="43" xfId="0" applyFont="1" applyFill="1" applyBorder="1" applyProtection="1">
      <protection locked="0"/>
    </xf>
    <xf numFmtId="0" fontId="34" fillId="2" borderId="13" xfId="0" applyFont="1" applyFill="1" applyBorder="1" applyProtection="1">
      <protection locked="0"/>
    </xf>
    <xf numFmtId="0" fontId="34" fillId="2" borderId="56" xfId="0" applyFont="1" applyFill="1" applyBorder="1" applyProtection="1">
      <protection locked="0"/>
    </xf>
    <xf numFmtId="0" fontId="34" fillId="2" borderId="150" xfId="0" applyFont="1" applyFill="1" applyBorder="1" applyProtection="1">
      <protection locked="0"/>
    </xf>
    <xf numFmtId="0" fontId="34" fillId="2" borderId="44" xfId="0" applyFont="1" applyFill="1" applyBorder="1" applyProtection="1">
      <protection locked="0"/>
    </xf>
    <xf numFmtId="0" fontId="34" fillId="2" borderId="99" xfId="0" applyFont="1" applyFill="1" applyBorder="1" applyProtection="1">
      <protection locked="0"/>
    </xf>
    <xf numFmtId="17" fontId="36" fillId="2" borderId="57" xfId="0" applyNumberFormat="1" applyFont="1" applyFill="1" applyBorder="1" applyAlignment="1" applyProtection="1">
      <alignment horizontal="center" vertical="center"/>
      <protection locked="0"/>
    </xf>
    <xf numFmtId="17" fontId="36" fillId="2" borderId="58" xfId="0" applyNumberFormat="1" applyFont="1" applyFill="1" applyBorder="1" applyAlignment="1" applyProtection="1">
      <alignment horizontal="center" vertical="center"/>
      <protection locked="0"/>
    </xf>
    <xf numFmtId="17" fontId="36" fillId="2" borderId="63" xfId="0" applyNumberFormat="1" applyFont="1" applyFill="1" applyBorder="1" applyAlignment="1" applyProtection="1">
      <alignment horizontal="center" vertical="center"/>
      <protection locked="0"/>
    </xf>
    <xf numFmtId="17" fontId="36" fillId="2" borderId="33" xfId="0" applyNumberFormat="1" applyFont="1" applyFill="1" applyBorder="1" applyAlignment="1" applyProtection="1">
      <alignment horizontal="center" vertical="center"/>
      <protection locked="0"/>
    </xf>
    <xf numFmtId="17" fontId="36" fillId="2" borderId="59" xfId="0" applyNumberFormat="1" applyFont="1" applyFill="1" applyBorder="1" applyAlignment="1" applyProtection="1">
      <alignment horizontal="center" vertical="center"/>
      <protection locked="0"/>
    </xf>
    <xf numFmtId="17" fontId="36" fillId="2" borderId="36" xfId="0" applyNumberFormat="1" applyFont="1" applyFill="1" applyBorder="1" applyAlignment="1" applyProtection="1">
      <alignment horizontal="center" vertical="center"/>
      <protection locked="0"/>
    </xf>
    <xf numFmtId="17" fontId="36" fillId="2" borderId="43" xfId="0" applyNumberFormat="1" applyFont="1" applyFill="1" applyBorder="1" applyAlignment="1" applyProtection="1">
      <alignment horizontal="center" vertical="center"/>
      <protection locked="0"/>
    </xf>
    <xf numFmtId="17" fontId="36" fillId="2" borderId="13" xfId="0" applyNumberFormat="1" applyFont="1" applyFill="1" applyBorder="1" applyAlignment="1" applyProtection="1">
      <alignment horizontal="center" vertical="center"/>
      <protection locked="0"/>
    </xf>
    <xf numFmtId="17" fontId="36" fillId="2" borderId="44" xfId="0" applyNumberFormat="1" applyFont="1" applyFill="1" applyBorder="1" applyAlignment="1" applyProtection="1">
      <alignment horizontal="center" vertical="center"/>
      <protection locked="0"/>
    </xf>
    <xf numFmtId="0" fontId="11" fillId="2" borderId="68" xfId="0" applyFont="1" applyFill="1" applyBorder="1" applyAlignment="1" applyProtection="1">
      <alignment vertical="top" wrapText="1"/>
      <protection locked="0"/>
    </xf>
    <xf numFmtId="0" fontId="12" fillId="2" borderId="70" xfId="0" applyFont="1" applyFill="1" applyBorder="1" applyAlignment="1" applyProtection="1">
      <alignment vertical="top" wrapText="1"/>
      <protection locked="0"/>
    </xf>
    <xf numFmtId="0" fontId="31" fillId="3" borderId="0" xfId="0" applyFont="1" applyFill="1" applyBorder="1" applyProtection="1">
      <protection locked="0"/>
    </xf>
    <xf numFmtId="0" fontId="21" fillId="3" borderId="0" xfId="0" applyFont="1" applyFill="1" applyProtection="1">
      <protection locked="0"/>
    </xf>
    <xf numFmtId="165" fontId="0" fillId="3" borderId="0" xfId="0" applyNumberFormat="1" applyFill="1" applyProtection="1">
      <protection locked="0"/>
    </xf>
    <xf numFmtId="1" fontId="0" fillId="3" borderId="0" xfId="0" applyNumberFormat="1" applyFill="1" applyProtection="1">
      <protection locked="0"/>
    </xf>
    <xf numFmtId="0" fontId="34" fillId="2" borderId="26" xfId="0" applyFont="1" applyFill="1" applyBorder="1" applyAlignment="1" applyProtection="1">
      <alignment vertical="top" wrapText="1"/>
      <protection locked="0"/>
    </xf>
    <xf numFmtId="0" fontId="34" fillId="2" borderId="27" xfId="0" applyFont="1" applyFill="1" applyBorder="1" applyAlignment="1" applyProtection="1">
      <alignment vertical="top" wrapText="1"/>
      <protection locked="0"/>
    </xf>
    <xf numFmtId="0" fontId="34" fillId="2" borderId="32" xfId="0" applyFont="1" applyFill="1" applyBorder="1" applyAlignment="1" applyProtection="1">
      <alignment vertical="top" wrapText="1"/>
      <protection locked="0"/>
    </xf>
    <xf numFmtId="0" fontId="0" fillId="3" borderId="0" xfId="0" applyFill="1" applyBorder="1" applyProtection="1">
      <protection locked="0"/>
    </xf>
    <xf numFmtId="17" fontId="34" fillId="2" borderId="98" xfId="0" applyNumberFormat="1" applyFont="1" applyFill="1" applyBorder="1" applyAlignment="1" applyProtection="1">
      <alignment wrapText="1"/>
      <protection locked="0"/>
    </xf>
    <xf numFmtId="17" fontId="34" fillId="2" borderId="31" xfId="0" applyNumberFormat="1" applyFont="1" applyFill="1" applyBorder="1" applyAlignment="1" applyProtection="1">
      <alignment wrapText="1"/>
      <protection locked="0"/>
    </xf>
    <xf numFmtId="17" fontId="34" fillId="2" borderId="99" xfId="0" applyNumberFormat="1" applyFont="1" applyFill="1" applyBorder="1" applyAlignment="1" applyProtection="1">
      <alignment wrapText="1"/>
      <protection locked="0"/>
    </xf>
    <xf numFmtId="0" fontId="8" fillId="3" borderId="0" xfId="0" applyFont="1" applyFill="1" applyBorder="1" applyProtection="1">
      <protection locked="0"/>
    </xf>
    <xf numFmtId="0" fontId="34" fillId="3" borderId="0" xfId="0" applyFont="1" applyFill="1" applyBorder="1" applyAlignment="1" applyProtection="1">
      <alignment vertical="center"/>
      <protection locked="0"/>
    </xf>
    <xf numFmtId="0" fontId="34" fillId="3" borderId="0" xfId="0" applyFont="1" applyFill="1" applyBorder="1" applyAlignment="1" applyProtection="1">
      <protection locked="0"/>
    </xf>
    <xf numFmtId="17" fontId="34" fillId="2" borderId="108" xfId="0" applyNumberFormat="1" applyFont="1" applyFill="1" applyBorder="1" applyAlignment="1" applyProtection="1">
      <alignment wrapText="1"/>
      <protection locked="0"/>
    </xf>
    <xf numFmtId="17" fontId="34" fillId="2" borderId="115" xfId="0" applyNumberFormat="1" applyFont="1" applyFill="1" applyBorder="1" applyAlignment="1" applyProtection="1">
      <alignment wrapText="1"/>
      <protection locked="0"/>
    </xf>
    <xf numFmtId="17" fontId="34" fillId="2" borderId="134" xfId="0" applyNumberFormat="1" applyFont="1" applyFill="1" applyBorder="1" applyAlignment="1" applyProtection="1">
      <alignment wrapText="1"/>
      <protection locked="0"/>
    </xf>
    <xf numFmtId="49" fontId="34" fillId="3" borderId="0" xfId="0" applyNumberFormat="1" applyFont="1" applyFill="1" applyBorder="1" applyProtection="1">
      <protection locked="0"/>
    </xf>
    <xf numFmtId="0" fontId="12" fillId="2" borderId="26"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167" fontId="10" fillId="3" borderId="0" xfId="1" applyNumberFormat="1" applyFont="1" applyFill="1" applyBorder="1" applyProtection="1">
      <protection locked="0"/>
    </xf>
    <xf numFmtId="0" fontId="12" fillId="2" borderId="29" xfId="0" applyFont="1" applyFill="1" applyBorder="1" applyAlignment="1" applyProtection="1">
      <alignment vertical="top" wrapText="1"/>
      <protection locked="0"/>
    </xf>
    <xf numFmtId="165" fontId="10" fillId="3" borderId="0" xfId="0" applyNumberFormat="1" applyFont="1" applyFill="1" applyBorder="1" applyProtection="1">
      <protection locked="0"/>
    </xf>
    <xf numFmtId="0" fontId="12" fillId="2" borderId="34" xfId="0" applyFont="1" applyFill="1" applyBorder="1" applyAlignment="1" applyProtection="1">
      <alignment vertical="top" wrapText="1"/>
      <protection locked="0"/>
    </xf>
    <xf numFmtId="1" fontId="31" fillId="3" borderId="0" xfId="0" applyNumberFormat="1" applyFont="1" applyFill="1" applyProtection="1">
      <protection locked="0"/>
    </xf>
    <xf numFmtId="0" fontId="9" fillId="2" borderId="21" xfId="0" applyFont="1" applyFill="1" applyBorder="1" applyAlignment="1" applyProtection="1">
      <alignment vertical="top" wrapText="1"/>
      <protection locked="0"/>
    </xf>
    <xf numFmtId="0" fontId="9" fillId="2" borderId="40" xfId="0" applyFont="1" applyFill="1" applyBorder="1" applyAlignment="1" applyProtection="1">
      <alignment vertical="top" wrapText="1"/>
      <protection locked="0"/>
    </xf>
    <xf numFmtId="0" fontId="0" fillId="3" borderId="0" xfId="0" applyFill="1" applyAlignment="1" applyProtection="1">
      <alignment wrapText="1"/>
      <protection locked="0"/>
    </xf>
    <xf numFmtId="0" fontId="9" fillId="2" borderId="25" xfId="0" applyFont="1" applyFill="1" applyBorder="1" applyAlignment="1" applyProtection="1">
      <alignment vertical="top" wrapText="1"/>
      <protection locked="0"/>
    </xf>
    <xf numFmtId="17" fontId="40" fillId="2" borderId="58" xfId="0" applyNumberFormat="1" applyFont="1" applyFill="1" applyBorder="1" applyAlignment="1" applyProtection="1">
      <alignment horizontal="center" vertical="center"/>
      <protection locked="0"/>
    </xf>
    <xf numFmtId="17" fontId="40" fillId="2" borderId="59" xfId="0" applyNumberFormat="1" applyFont="1" applyFill="1" applyBorder="1" applyAlignment="1" applyProtection="1">
      <alignment horizontal="center" vertical="center"/>
      <protection locked="0"/>
    </xf>
    <xf numFmtId="17" fontId="40" fillId="2" borderId="57" xfId="0" applyNumberFormat="1" applyFont="1" applyFill="1" applyBorder="1" applyAlignment="1" applyProtection="1">
      <alignment horizontal="center" vertical="center"/>
      <protection locked="0"/>
    </xf>
    <xf numFmtId="17" fontId="27" fillId="3" borderId="0" xfId="0" applyNumberFormat="1" applyFont="1" applyFill="1" applyBorder="1" applyAlignment="1" applyProtection="1">
      <alignment vertical="center"/>
      <protection locked="0"/>
    </xf>
    <xf numFmtId="1" fontId="0" fillId="3" borderId="0" xfId="0" applyNumberFormat="1" applyFill="1" applyBorder="1" applyProtection="1">
      <protection locked="0"/>
    </xf>
    <xf numFmtId="17" fontId="28" fillId="2" borderId="47" xfId="0" applyNumberFormat="1" applyFont="1" applyFill="1" applyBorder="1" applyAlignment="1" applyProtection="1">
      <alignment wrapText="1"/>
      <protection locked="0"/>
    </xf>
    <xf numFmtId="17" fontId="28" fillId="2" borderId="48" xfId="0" applyNumberFormat="1" applyFont="1" applyFill="1" applyBorder="1" applyAlignment="1" applyProtection="1">
      <alignment wrapText="1"/>
      <protection locked="0"/>
    </xf>
    <xf numFmtId="17" fontId="28" fillId="2" borderId="49" xfId="0" applyNumberFormat="1" applyFont="1" applyFill="1" applyBorder="1" applyAlignment="1" applyProtection="1">
      <alignment wrapText="1"/>
      <protection locked="0"/>
    </xf>
    <xf numFmtId="0" fontId="12" fillId="2" borderId="22" xfId="0" applyFont="1" applyFill="1" applyBorder="1" applyAlignment="1" applyProtection="1">
      <alignment vertical="top" wrapText="1"/>
      <protection locked="0"/>
    </xf>
    <xf numFmtId="0" fontId="12" fillId="2" borderId="28" xfId="0" applyFont="1" applyFill="1" applyBorder="1" applyAlignment="1" applyProtection="1">
      <alignment vertical="top" wrapText="1"/>
      <protection locked="0"/>
    </xf>
    <xf numFmtId="0" fontId="12" fillId="2" borderId="33" xfId="0" applyFont="1" applyFill="1" applyBorder="1" applyAlignment="1" applyProtection="1">
      <alignment vertical="top" wrapText="1"/>
      <protection locked="0"/>
    </xf>
    <xf numFmtId="0" fontId="11" fillId="3" borderId="0" xfId="0" applyFont="1" applyFill="1" applyBorder="1" applyAlignment="1" applyProtection="1">
      <alignment horizontal="left" vertical="top" wrapText="1"/>
      <protection locked="0"/>
    </xf>
    <xf numFmtId="165" fontId="3" fillId="3" borderId="0" xfId="1" applyNumberFormat="1" applyFont="1" applyFill="1" applyBorder="1" applyProtection="1">
      <protection locked="0"/>
    </xf>
    <xf numFmtId="165" fontId="34" fillId="0" borderId="23" xfId="1" applyNumberFormat="1" applyFont="1" applyFill="1" applyBorder="1" applyProtection="1">
      <protection locked="0"/>
    </xf>
    <xf numFmtId="165" fontId="34" fillId="0" borderId="25" xfId="1" applyNumberFormat="1" applyFont="1" applyFill="1" applyBorder="1" applyProtection="1">
      <protection locked="0"/>
    </xf>
    <xf numFmtId="0" fontId="58" fillId="4" borderId="0" xfId="0" applyFont="1" applyFill="1"/>
    <xf numFmtId="0" fontId="0" fillId="4" borderId="0" xfId="0" applyFill="1" applyAlignment="1">
      <alignment wrapText="1"/>
    </xf>
    <xf numFmtId="0" fontId="0" fillId="7" borderId="6" xfId="0" applyFill="1" applyBorder="1" applyAlignment="1">
      <alignment wrapText="1"/>
    </xf>
    <xf numFmtId="14" fontId="0" fillId="4" borderId="13" xfId="0" applyNumberFormat="1" applyFill="1" applyBorder="1" applyAlignment="1">
      <alignment horizontal="center"/>
    </xf>
    <xf numFmtId="0" fontId="0" fillId="4" borderId="13" xfId="0" applyFill="1" applyBorder="1" applyAlignment="1">
      <alignment wrapText="1"/>
    </xf>
    <xf numFmtId="14" fontId="0" fillId="4" borderId="115" xfId="0" applyNumberFormat="1" applyFill="1" applyBorder="1" applyAlignment="1">
      <alignment horizontal="center"/>
    </xf>
    <xf numFmtId="0" fontId="0" fillId="4" borderId="115" xfId="0" applyFill="1" applyBorder="1"/>
    <xf numFmtId="0" fontId="0" fillId="4" borderId="115" xfId="0" applyFill="1" applyBorder="1" applyAlignment="1">
      <alignment wrapText="1"/>
    </xf>
    <xf numFmtId="14" fontId="0" fillId="4" borderId="61" xfId="0" applyNumberFormat="1" applyFill="1" applyBorder="1" applyAlignment="1">
      <alignment horizontal="center"/>
    </xf>
    <xf numFmtId="0" fontId="0" fillId="4" borderId="61" xfId="0" applyFill="1" applyBorder="1"/>
    <xf numFmtId="0" fontId="0" fillId="4" borderId="61" xfId="0" applyFill="1" applyBorder="1" applyAlignment="1">
      <alignment wrapText="1"/>
    </xf>
    <xf numFmtId="166" fontId="34" fillId="3" borderId="0" xfId="0" applyNumberFormat="1" applyFont="1" applyFill="1" applyProtection="1"/>
    <xf numFmtId="168" fontId="9" fillId="4" borderId="37" xfId="0" applyNumberFormat="1" applyFont="1" applyFill="1" applyBorder="1" applyAlignment="1" applyProtection="1">
      <alignment horizontal="center" vertical="center"/>
      <protection locked="0"/>
    </xf>
    <xf numFmtId="169" fontId="14" fillId="3" borderId="0" xfId="1" applyNumberFormat="1" applyFont="1" applyFill="1" applyBorder="1" applyAlignment="1" applyProtection="1">
      <alignment horizontal="right" wrapText="1"/>
    </xf>
    <xf numFmtId="14" fontId="113" fillId="4" borderId="189" xfId="0" applyNumberFormat="1" applyFont="1" applyFill="1" applyBorder="1" applyAlignment="1">
      <alignment horizontal="left"/>
    </xf>
    <xf numFmtId="0" fontId="0" fillId="4" borderId="190" xfId="0" applyFill="1" applyBorder="1"/>
    <xf numFmtId="0" fontId="0" fillId="4" borderId="189" xfId="0" applyFill="1" applyBorder="1" applyAlignment="1">
      <alignment wrapText="1"/>
    </xf>
    <xf numFmtId="0" fontId="114" fillId="47" borderId="0" xfId="0" applyFont="1" applyFill="1" applyBorder="1" applyAlignment="1">
      <alignment vertical="center"/>
    </xf>
    <xf numFmtId="0" fontId="114" fillId="47" borderId="115" xfId="0" applyFont="1" applyFill="1" applyBorder="1" applyAlignment="1">
      <alignment vertical="center"/>
    </xf>
    <xf numFmtId="0" fontId="114" fillId="47" borderId="115" xfId="0" applyFont="1" applyFill="1" applyBorder="1" applyAlignment="1">
      <alignment vertical="center" wrapText="1"/>
    </xf>
    <xf numFmtId="0" fontId="115" fillId="4" borderId="115" xfId="0" applyFont="1" applyFill="1" applyBorder="1" applyAlignment="1">
      <alignment vertical="center"/>
    </xf>
    <xf numFmtId="0" fontId="115" fillId="4" borderId="115" xfId="0" applyFont="1" applyFill="1" applyBorder="1" applyAlignment="1">
      <alignment wrapText="1"/>
    </xf>
    <xf numFmtId="0" fontId="115" fillId="4" borderId="61" xfId="0" applyFont="1" applyFill="1" applyBorder="1" applyAlignment="1">
      <alignment vertical="center" wrapText="1"/>
    </xf>
    <xf numFmtId="17" fontId="9" fillId="0" borderId="33" xfId="0" applyNumberFormat="1" applyFont="1" applyFill="1" applyBorder="1" applyAlignment="1" applyProtection="1">
      <alignment horizontal="center" vertical="center" wrapText="1"/>
      <protection locked="0"/>
    </xf>
    <xf numFmtId="0" fontId="0" fillId="0" borderId="13" xfId="0" applyFill="1" applyBorder="1" applyAlignment="1" applyProtection="1">
      <alignment horizontal="center"/>
      <protection locked="0"/>
    </xf>
    <xf numFmtId="0" fontId="0" fillId="0" borderId="115"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94"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88"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105" xfId="0" applyFill="1" applyBorder="1" applyAlignment="1" applyProtection="1">
      <alignment horizontal="center"/>
      <protection locked="0"/>
    </xf>
    <xf numFmtId="0" fontId="0" fillId="0" borderId="106" xfId="0" applyFill="1" applyBorder="1" applyAlignment="1" applyProtection="1">
      <alignment horizontal="center"/>
      <protection locked="0"/>
    </xf>
    <xf numFmtId="0" fontId="0" fillId="0" borderId="107" xfId="0" applyFill="1" applyBorder="1" applyAlignment="1" applyProtection="1">
      <alignment horizontal="center"/>
      <protection locked="0"/>
    </xf>
    <xf numFmtId="0" fontId="0" fillId="0" borderId="100" xfId="0" applyFill="1" applyBorder="1" applyAlignment="1" applyProtection="1">
      <alignment horizontal="center"/>
      <protection locked="0"/>
    </xf>
    <xf numFmtId="0" fontId="0" fillId="0" borderId="101" xfId="0" applyFill="1" applyBorder="1" applyAlignment="1" applyProtection="1">
      <alignment horizontal="center"/>
      <protection locked="0"/>
    </xf>
    <xf numFmtId="0" fontId="0" fillId="0" borderId="102" xfId="0" applyFill="1" applyBorder="1" applyAlignment="1" applyProtection="1">
      <alignment horizontal="center"/>
      <protection locked="0"/>
    </xf>
    <xf numFmtId="0" fontId="0" fillId="0" borderId="103"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104" xfId="0" applyFill="1" applyBorder="1" applyAlignment="1" applyProtection="1">
      <alignment horizontal="center"/>
      <protection locked="0"/>
    </xf>
    <xf numFmtId="0" fontId="2" fillId="3" borderId="0" xfId="0" applyFont="1" applyFill="1" applyBorder="1" applyAlignment="1">
      <alignment horizontal="left"/>
    </xf>
    <xf numFmtId="0" fontId="34" fillId="3" borderId="17" xfId="0" applyFont="1" applyFill="1" applyBorder="1" applyAlignment="1" applyProtection="1">
      <alignment horizontal="center" wrapText="1"/>
    </xf>
    <xf numFmtId="0" fontId="34" fillId="3" borderId="18" xfId="0" applyFont="1" applyFill="1" applyBorder="1" applyAlignment="1" applyProtection="1">
      <alignment horizontal="center" wrapText="1"/>
    </xf>
    <xf numFmtId="0" fontId="8" fillId="4" borderId="178" xfId="0" applyFont="1" applyFill="1" applyBorder="1" applyAlignment="1" applyProtection="1">
      <alignment horizontal="center"/>
      <protection locked="0"/>
    </xf>
    <xf numFmtId="0" fontId="0" fillId="4" borderId="178" xfId="0" applyFill="1" applyBorder="1" applyAlignment="1">
      <alignment horizontal="center"/>
    </xf>
    <xf numFmtId="166" fontId="8" fillId="3" borderId="131" xfId="0" applyNumberFormat="1" applyFont="1" applyFill="1" applyBorder="1" applyAlignment="1" applyProtection="1">
      <alignment horizontal="center"/>
    </xf>
    <xf numFmtId="166" fontId="8" fillId="3" borderId="89" xfId="0" applyNumberFormat="1" applyFont="1" applyFill="1" applyBorder="1" applyAlignment="1" applyProtection="1">
      <alignment horizontal="center"/>
    </xf>
    <xf numFmtId="166" fontId="8" fillId="3" borderId="133" xfId="0" applyNumberFormat="1" applyFont="1" applyFill="1" applyBorder="1" applyAlignment="1" applyProtection="1">
      <alignment horizontal="center"/>
    </xf>
    <xf numFmtId="166" fontId="8" fillId="0" borderId="131" xfId="0" applyNumberFormat="1" applyFont="1" applyFill="1" applyBorder="1" applyAlignment="1" applyProtection="1">
      <alignment horizontal="center"/>
      <protection locked="0"/>
    </xf>
    <xf numFmtId="166" fontId="8" fillId="0" borderId="89" xfId="0" applyNumberFormat="1" applyFont="1" applyFill="1" applyBorder="1" applyAlignment="1" applyProtection="1">
      <alignment horizontal="center"/>
      <protection locked="0"/>
    </xf>
    <xf numFmtId="166" fontId="8" fillId="0" borderId="133" xfId="0" applyNumberFormat="1" applyFont="1" applyFill="1" applyBorder="1" applyAlignment="1" applyProtection="1">
      <alignment horizontal="center"/>
      <protection locked="0"/>
    </xf>
    <xf numFmtId="0" fontId="8" fillId="3" borderId="160" xfId="0" applyFont="1" applyFill="1" applyBorder="1" applyAlignment="1" applyProtection="1">
      <alignment horizontal="center" vertical="top" wrapText="1"/>
    </xf>
    <xf numFmtId="0" fontId="8" fillId="3" borderId="106" xfId="0" applyFont="1" applyFill="1" applyBorder="1" applyAlignment="1" applyProtection="1">
      <alignment horizontal="center" vertical="top" wrapText="1"/>
    </xf>
    <xf numFmtId="0" fontId="8" fillId="3" borderId="161" xfId="0" applyFont="1" applyFill="1" applyBorder="1" applyAlignment="1" applyProtection="1">
      <alignment horizontal="center" vertical="top" wrapText="1"/>
    </xf>
    <xf numFmtId="0" fontId="8" fillId="3" borderId="155" xfId="0" applyFont="1" applyFill="1" applyBorder="1" applyAlignment="1" applyProtection="1">
      <alignment horizontal="center" wrapText="1"/>
    </xf>
    <xf numFmtId="0" fontId="8" fillId="3" borderId="156" xfId="0" applyFont="1" applyFill="1" applyBorder="1" applyAlignment="1" applyProtection="1">
      <alignment horizontal="center" wrapText="1"/>
    </xf>
    <xf numFmtId="0" fontId="8" fillId="3" borderId="155" xfId="0" applyFont="1" applyFill="1" applyBorder="1" applyAlignment="1" applyProtection="1">
      <alignment horizontal="center"/>
    </xf>
    <xf numFmtId="0" fontId="8" fillId="3" borderId="163" xfId="0" applyFont="1" applyFill="1" applyBorder="1" applyAlignment="1" applyProtection="1">
      <alignment horizontal="center"/>
    </xf>
    <xf numFmtId="0" fontId="8" fillId="3" borderId="162" xfId="0" applyFont="1" applyFill="1" applyBorder="1" applyAlignment="1" applyProtection="1">
      <alignment horizontal="left" vertical="top" wrapText="1"/>
    </xf>
    <xf numFmtId="0" fontId="8" fillId="3" borderId="163" xfId="0" applyFont="1" applyFill="1" applyBorder="1" applyAlignment="1" applyProtection="1">
      <alignment horizontal="left" vertical="top" wrapText="1"/>
    </xf>
    <xf numFmtId="0" fontId="8" fillId="3" borderId="156" xfId="0" applyFont="1" applyFill="1" applyBorder="1" applyAlignment="1" applyProtection="1">
      <alignment horizontal="left" vertical="top" wrapText="1"/>
    </xf>
    <xf numFmtId="0" fontId="8" fillId="3" borderId="157" xfId="0" applyFont="1" applyFill="1" applyBorder="1" applyAlignment="1" applyProtection="1">
      <alignment horizontal="center"/>
    </xf>
    <xf numFmtId="0" fontId="8" fillId="3" borderId="101" xfId="0" applyFont="1" applyFill="1" applyBorder="1" applyAlignment="1" applyProtection="1">
      <alignment horizontal="center"/>
    </xf>
    <xf numFmtId="0" fontId="8" fillId="3" borderId="158" xfId="0" applyFont="1" applyFill="1" applyBorder="1" applyAlignment="1" applyProtection="1">
      <alignment horizontal="center"/>
    </xf>
    <xf numFmtId="166" fontId="8" fillId="3" borderId="152" xfId="0" applyNumberFormat="1" applyFont="1" applyFill="1" applyBorder="1" applyAlignment="1" applyProtection="1">
      <alignment horizontal="center"/>
    </xf>
    <xf numFmtId="166" fontId="8" fillId="3" borderId="153" xfId="0" applyNumberFormat="1" applyFont="1" applyFill="1" applyBorder="1" applyAlignment="1" applyProtection="1">
      <alignment horizontal="center"/>
    </xf>
    <xf numFmtId="166" fontId="8" fillId="3" borderId="154" xfId="0" applyNumberFormat="1" applyFont="1" applyFill="1" applyBorder="1" applyAlignment="1" applyProtection="1">
      <alignment horizontal="center"/>
    </xf>
    <xf numFmtId="0" fontId="34" fillId="3" borderId="17" xfId="0" applyFont="1" applyFill="1" applyBorder="1" applyAlignment="1">
      <alignment horizontal="center"/>
    </xf>
    <xf numFmtId="0" fontId="34" fillId="3" borderId="72" xfId="0" applyFont="1" applyFill="1" applyBorder="1" applyAlignment="1">
      <alignment horizontal="center"/>
    </xf>
    <xf numFmtId="0" fontId="34" fillId="3" borderId="18" xfId="0" applyFont="1" applyFill="1" applyBorder="1" applyAlignment="1">
      <alignment horizontal="center"/>
    </xf>
    <xf numFmtId="0" fontId="8" fillId="3" borderId="162" xfId="0" applyFont="1" applyFill="1" applyBorder="1" applyAlignment="1" applyProtection="1">
      <alignment horizontal="center" wrapText="1"/>
    </xf>
    <xf numFmtId="0" fontId="34" fillId="2" borderId="2" xfId="0" applyFont="1" applyFill="1" applyBorder="1" applyAlignment="1" applyProtection="1">
      <alignment horizontal="center"/>
    </xf>
    <xf numFmtId="0" fontId="34" fillId="2" borderId="1" xfId="0" applyFont="1" applyFill="1" applyBorder="1" applyAlignment="1" applyProtection="1">
      <alignment horizontal="center"/>
    </xf>
    <xf numFmtId="0" fontId="34" fillId="2" borderId="3" xfId="0" applyFont="1" applyFill="1" applyBorder="1" applyAlignment="1" applyProtection="1">
      <alignment horizontal="center"/>
    </xf>
    <xf numFmtId="0" fontId="8" fillId="0" borderId="56" xfId="0" applyFont="1" applyFill="1" applyBorder="1" applyAlignment="1" applyProtection="1">
      <alignment horizontal="left" wrapText="1"/>
    </xf>
    <xf numFmtId="0" fontId="8" fillId="0" borderId="31" xfId="0" applyFont="1" applyFill="1" applyBorder="1" applyAlignment="1" applyProtection="1">
      <alignment horizontal="left"/>
    </xf>
    <xf numFmtId="0" fontId="8" fillId="0" borderId="50" xfId="0" applyFont="1" applyFill="1" applyBorder="1" applyAlignment="1" applyProtection="1">
      <alignment horizontal="left"/>
    </xf>
    <xf numFmtId="0" fontId="8" fillId="0" borderId="6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94" xfId="0" applyFont="1" applyFill="1" applyBorder="1" applyAlignment="1" applyProtection="1">
      <alignment horizontal="left"/>
    </xf>
    <xf numFmtId="0" fontId="8" fillId="0" borderId="66" xfId="0" applyFont="1" applyFill="1" applyBorder="1" applyAlignment="1" applyProtection="1">
      <alignment horizontal="left"/>
    </xf>
    <xf numFmtId="0" fontId="8" fillId="0" borderId="88" xfId="0" applyFont="1" applyFill="1" applyBorder="1" applyAlignment="1" applyProtection="1">
      <alignment horizontal="left"/>
    </xf>
    <xf numFmtId="0" fontId="8" fillId="0" borderId="74" xfId="0" applyFont="1" applyFill="1" applyBorder="1" applyAlignment="1" applyProtection="1">
      <alignment horizontal="left"/>
    </xf>
    <xf numFmtId="0" fontId="112" fillId="3" borderId="0" xfId="0" applyFont="1" applyFill="1" applyAlignment="1" applyProtection="1">
      <alignment horizontal="left" vertical="top" wrapText="1"/>
    </xf>
    <xf numFmtId="0" fontId="0" fillId="0" borderId="0" xfId="0" applyAlignment="1">
      <alignment horizontal="left" vertical="top" wrapText="1"/>
    </xf>
    <xf numFmtId="0" fontId="109" fillId="3" borderId="0" xfId="0" applyFont="1" applyFill="1" applyBorder="1" applyAlignment="1" applyProtection="1">
      <alignment horizontal="center" vertical="center" wrapText="1"/>
    </xf>
    <xf numFmtId="0" fontId="110" fillId="0" borderId="0" xfId="0" applyFont="1" applyAlignment="1">
      <alignment horizontal="center" vertical="center" wrapText="1"/>
    </xf>
    <xf numFmtId="0" fontId="53" fillId="3" borderId="0" xfId="0" applyFont="1" applyFill="1" applyAlignment="1" applyProtection="1">
      <alignment horizontal="left" vertical="top" wrapText="1"/>
    </xf>
    <xf numFmtId="0" fontId="53" fillId="3" borderId="24"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1" fillId="2" borderId="25" xfId="0" applyFont="1" applyFill="1" applyBorder="1" applyAlignment="1" applyProtection="1">
      <alignment horizontal="left" vertical="top" wrapText="1"/>
    </xf>
    <xf numFmtId="0" fontId="11" fillId="2" borderId="40" xfId="0" applyFont="1" applyFill="1" applyBorder="1" applyAlignment="1" applyProtection="1">
      <alignment horizontal="left" vertical="top" wrapText="1"/>
    </xf>
    <xf numFmtId="0" fontId="11" fillId="2" borderId="64" xfId="0" applyFont="1" applyFill="1" applyBorder="1" applyAlignment="1" applyProtection="1">
      <alignment horizontal="center" vertical="center" wrapText="1"/>
    </xf>
    <xf numFmtId="0" fontId="11" fillId="2" borderId="54"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52" xfId="0" applyFont="1" applyFill="1" applyBorder="1" applyAlignment="1" applyProtection="1">
      <alignment horizontal="center" vertical="center" wrapText="1"/>
    </xf>
    <xf numFmtId="0" fontId="11" fillId="2" borderId="5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76" xfId="0" applyFont="1" applyFill="1" applyBorder="1" applyAlignment="1" applyProtection="1">
      <alignment horizontal="center" vertical="center" wrapText="1"/>
    </xf>
    <xf numFmtId="0" fontId="11" fillId="2" borderId="115" xfId="0" applyFont="1" applyFill="1" applyBorder="1" applyAlignment="1" applyProtection="1">
      <alignment horizontal="center" vertical="center" wrapText="1"/>
    </xf>
    <xf numFmtId="0" fontId="11" fillId="2" borderId="108" xfId="0" applyFont="1" applyFill="1" applyBorder="1" applyAlignment="1" applyProtection="1">
      <alignment horizontal="center" vertical="center" wrapText="1"/>
    </xf>
    <xf numFmtId="0" fontId="55" fillId="2" borderId="17" xfId="0" applyFont="1" applyFill="1" applyBorder="1" applyAlignment="1" applyProtection="1">
      <alignment horizontal="center" vertical="center" wrapText="1"/>
    </xf>
    <xf numFmtId="0" fontId="55" fillId="2" borderId="72" xfId="0" applyFont="1" applyFill="1" applyBorder="1" applyAlignment="1" applyProtection="1">
      <alignment horizontal="center" vertical="center" wrapText="1"/>
    </xf>
    <xf numFmtId="0" fontId="55" fillId="2" borderId="18" xfId="0" applyFont="1" applyFill="1" applyBorder="1" applyAlignment="1" applyProtection="1">
      <alignment horizontal="center" vertical="center" wrapText="1"/>
    </xf>
    <xf numFmtId="0" fontId="8" fillId="2" borderId="130" xfId="0" applyFont="1" applyFill="1" applyBorder="1" applyAlignment="1" applyProtection="1">
      <alignment horizontal="right"/>
    </xf>
    <xf numFmtId="0" fontId="8" fillId="2" borderId="88" xfId="0" applyFont="1" applyFill="1" applyBorder="1" applyAlignment="1" applyProtection="1">
      <alignment horizontal="right"/>
    </xf>
    <xf numFmtId="0" fontId="34" fillId="2" borderId="19" xfId="0" applyFont="1" applyFill="1" applyBorder="1" applyAlignment="1" applyProtection="1">
      <alignment horizontal="right" wrapText="1"/>
    </xf>
    <xf numFmtId="0" fontId="34" fillId="2" borderId="20" xfId="0" applyFont="1" applyFill="1" applyBorder="1" applyAlignment="1" applyProtection="1">
      <alignment horizontal="right" wrapText="1"/>
    </xf>
    <xf numFmtId="0" fontId="34" fillId="2" borderId="38" xfId="0" applyFont="1" applyFill="1" applyBorder="1" applyAlignment="1" applyProtection="1">
      <alignment horizontal="right" wrapText="1"/>
    </xf>
    <xf numFmtId="0" fontId="34" fillId="2" borderId="39" xfId="0" applyFont="1" applyFill="1" applyBorder="1" applyAlignment="1" applyProtection="1">
      <alignment horizontal="right" wrapText="1"/>
    </xf>
    <xf numFmtId="0" fontId="55" fillId="2" borderId="21" xfId="0" applyFont="1" applyFill="1" applyBorder="1" applyAlignment="1" applyProtection="1">
      <alignment horizontal="center" wrapText="1"/>
    </xf>
    <xf numFmtId="0" fontId="55" fillId="2" borderId="40" xfId="0" applyFont="1" applyFill="1" applyBorder="1" applyAlignment="1" applyProtection="1">
      <alignment horizontal="center" wrapText="1"/>
    </xf>
    <xf numFmtId="0" fontId="8" fillId="2" borderId="26" xfId="0" applyFont="1" applyFill="1" applyBorder="1" applyAlignment="1" applyProtection="1">
      <alignment horizontal="right"/>
    </xf>
    <xf numFmtId="0" fontId="8" fillId="2" borderId="27" xfId="0" applyFont="1" applyFill="1" applyBorder="1" applyAlignment="1" applyProtection="1">
      <alignment horizontal="right"/>
    </xf>
    <xf numFmtId="0" fontId="10" fillId="3" borderId="0" xfId="0" applyFont="1" applyFill="1" applyBorder="1" applyAlignment="1" applyProtection="1">
      <alignment horizontal="center" vertical="center" wrapText="1"/>
    </xf>
    <xf numFmtId="0" fontId="54" fillId="3" borderId="42" xfId="0" applyFont="1" applyFill="1" applyBorder="1" applyAlignment="1" applyProtection="1">
      <alignment horizontal="right"/>
    </xf>
    <xf numFmtId="0" fontId="8" fillId="2" borderId="38" xfId="0" applyFont="1" applyFill="1" applyBorder="1" applyAlignment="1" applyProtection="1">
      <alignment horizontal="right"/>
    </xf>
    <xf numFmtId="0" fontId="8" fillId="2" borderId="76" xfId="0" applyFont="1" applyFill="1" applyBorder="1" applyAlignment="1" applyProtection="1">
      <alignment horizontal="right"/>
    </xf>
    <xf numFmtId="0" fontId="9" fillId="2" borderId="19"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7" fillId="3" borderId="0" xfId="1" applyNumberFormat="1" applyFont="1" applyFill="1" applyBorder="1" applyAlignment="1" applyProtection="1">
      <alignment horizontal="right" wrapText="1"/>
    </xf>
    <xf numFmtId="0" fontId="11" fillId="2" borderId="55"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0" fillId="0" borderId="0" xfId="0" applyAlignment="1">
      <alignment horizontal="center" vertical="center" wrapText="1"/>
    </xf>
    <xf numFmtId="0" fontId="55" fillId="2" borderId="19" xfId="0" applyFont="1" applyFill="1" applyBorder="1" applyAlignment="1" applyProtection="1">
      <alignment horizontal="center" wrapText="1"/>
    </xf>
    <xf numFmtId="0" fontId="55" fillId="2" borderId="76" xfId="0" applyFont="1" applyFill="1" applyBorder="1" applyAlignment="1" applyProtection="1">
      <alignment horizontal="center" wrapText="1"/>
    </xf>
    <xf numFmtId="0" fontId="11" fillId="4" borderId="21" xfId="0" applyFont="1" applyFill="1" applyBorder="1" applyAlignment="1" applyProtection="1">
      <alignment horizontal="left" vertical="top" wrapText="1"/>
      <protection locked="0"/>
    </xf>
    <xf numFmtId="0" fontId="11" fillId="4" borderId="25" xfId="0" applyFont="1" applyFill="1" applyBorder="1" applyAlignment="1" applyProtection="1">
      <alignment horizontal="left" vertical="top" wrapText="1"/>
      <protection locked="0"/>
    </xf>
    <xf numFmtId="0" fontId="11" fillId="4" borderId="40"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7" xfId="0" applyFont="1" applyFill="1" applyBorder="1" applyAlignment="1" applyProtection="1">
      <alignment horizontal="center" vertical="center" wrapText="1"/>
    </xf>
    <xf numFmtId="0" fontId="10" fillId="3" borderId="0" xfId="0" applyFont="1" applyFill="1" applyAlignment="1" applyProtection="1">
      <alignment horizontal="center" vertical="center" wrapText="1"/>
    </xf>
    <xf numFmtId="0" fontId="11" fillId="2" borderId="39" xfId="0" applyFont="1" applyFill="1" applyBorder="1" applyAlignment="1" applyProtection="1">
      <alignment horizontal="center" vertical="center" wrapText="1"/>
    </xf>
    <xf numFmtId="0" fontId="9" fillId="2" borderId="21" xfId="0" applyFont="1" applyFill="1" applyBorder="1" applyAlignment="1" applyProtection="1">
      <alignment horizontal="center" vertical="top" wrapText="1"/>
    </xf>
    <xf numFmtId="0" fontId="9" fillId="2" borderId="40" xfId="0" applyFont="1" applyFill="1" applyBorder="1" applyAlignment="1" applyProtection="1">
      <alignment horizontal="center" vertical="top" wrapText="1"/>
    </xf>
    <xf numFmtId="0" fontId="9" fillId="2" borderId="44"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21" xfId="0" applyFont="1" applyFill="1" applyBorder="1" applyAlignment="1" applyProtection="1">
      <alignment horizontal="center" vertical="top"/>
    </xf>
    <xf numFmtId="0" fontId="9" fillId="2" borderId="40" xfId="0" applyFont="1" applyFill="1" applyBorder="1" applyAlignment="1" applyProtection="1">
      <alignment horizontal="center" vertical="top"/>
    </xf>
    <xf numFmtId="0" fontId="9" fillId="2" borderId="38"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top" wrapText="1"/>
    </xf>
    <xf numFmtId="0" fontId="11" fillId="2" borderId="19" xfId="0" applyFont="1" applyFill="1" applyBorder="1" applyAlignment="1" applyProtection="1">
      <alignment horizontal="left" vertical="top" wrapText="1"/>
      <protection locked="0"/>
    </xf>
    <xf numFmtId="0" fontId="11" fillId="2" borderId="23" xfId="0" applyFont="1" applyFill="1" applyBorder="1" applyAlignment="1" applyProtection="1">
      <alignment horizontal="left" vertical="top" wrapText="1"/>
      <protection locked="0"/>
    </xf>
    <xf numFmtId="0" fontId="11" fillId="2" borderId="38" xfId="0" applyFont="1" applyFill="1" applyBorder="1" applyAlignment="1" applyProtection="1">
      <alignment horizontal="left" vertical="top" wrapText="1"/>
      <protection locked="0"/>
    </xf>
    <xf numFmtId="0" fontId="34" fillId="2" borderId="26" xfId="0" applyFont="1" applyFill="1" applyBorder="1" applyAlignment="1" applyProtection="1">
      <alignment horizontal="left"/>
      <protection locked="0"/>
    </xf>
    <xf numFmtId="0" fontId="34" fillId="2" borderId="27" xfId="0" applyFont="1" applyFill="1" applyBorder="1" applyAlignment="1" applyProtection="1">
      <alignment horizontal="left"/>
      <protection locked="0"/>
    </xf>
    <xf numFmtId="0" fontId="34" fillId="2" borderId="32" xfId="0" applyFont="1" applyFill="1" applyBorder="1" applyAlignment="1" applyProtection="1">
      <alignment horizontal="left"/>
      <protection locked="0"/>
    </xf>
    <xf numFmtId="0" fontId="34" fillId="2" borderId="54" xfId="0" applyFont="1" applyFill="1" applyBorder="1" applyAlignment="1" applyProtection="1">
      <alignment horizontal="center"/>
      <protection locked="0"/>
    </xf>
    <xf numFmtId="0" fontId="34" fillId="2" borderId="53" xfId="0" applyFont="1" applyFill="1" applyBorder="1" applyAlignment="1" applyProtection="1">
      <alignment horizontal="center"/>
      <protection locked="0"/>
    </xf>
    <xf numFmtId="0" fontId="34" fillId="2" borderId="45" xfId="0" applyFont="1" applyFill="1" applyBorder="1" applyAlignment="1" applyProtection="1">
      <alignment horizontal="center"/>
      <protection locked="0"/>
    </xf>
    <xf numFmtId="0" fontId="34" fillId="2" borderId="2" xfId="0" applyFont="1" applyFill="1" applyBorder="1" applyAlignment="1" applyProtection="1">
      <alignment horizontal="center"/>
      <protection locked="0"/>
    </xf>
    <xf numFmtId="0" fontId="34" fillId="2" borderId="57" xfId="0" applyFont="1" applyFill="1" applyBorder="1" applyAlignment="1" applyProtection="1">
      <alignment horizontal="center"/>
      <protection locked="0"/>
    </xf>
    <xf numFmtId="0" fontId="34" fillId="2" borderId="56" xfId="0" applyFont="1" applyFill="1" applyBorder="1" applyAlignment="1" applyProtection="1">
      <alignment horizontal="center"/>
      <protection locked="0"/>
    </xf>
    <xf numFmtId="0" fontId="34" fillId="2" borderId="26" xfId="0" applyFont="1" applyFill="1" applyBorder="1" applyAlignment="1" applyProtection="1">
      <alignment horizontal="left" vertical="center" wrapText="1"/>
      <protection locked="0"/>
    </xf>
    <xf numFmtId="0" fontId="34" fillId="2" borderId="27" xfId="0" applyFont="1" applyFill="1" applyBorder="1" applyAlignment="1" applyProtection="1">
      <alignment horizontal="left" vertical="center" wrapText="1"/>
      <protection locked="0"/>
    </xf>
    <xf numFmtId="0" fontId="34" fillId="2" borderId="32" xfId="0" applyFont="1" applyFill="1" applyBorder="1" applyAlignment="1" applyProtection="1">
      <alignment horizontal="left" vertical="center" wrapText="1"/>
      <protection locked="0"/>
    </xf>
    <xf numFmtId="17" fontId="28" fillId="2" borderId="98" xfId="0" applyNumberFormat="1" applyFont="1" applyFill="1" applyBorder="1" applyAlignment="1" applyProtection="1">
      <alignment horizontal="left" wrapText="1"/>
      <protection locked="0"/>
    </xf>
    <xf numFmtId="17" fontId="28" fillId="2" borderId="31" xfId="0" applyNumberFormat="1" applyFont="1" applyFill="1" applyBorder="1" applyAlignment="1" applyProtection="1">
      <alignment horizontal="left" wrapText="1"/>
      <protection locked="0"/>
    </xf>
    <xf numFmtId="17" fontId="28" fillId="2" borderId="50" xfId="0" applyNumberFormat="1" applyFont="1" applyFill="1" applyBorder="1" applyAlignment="1" applyProtection="1">
      <alignment horizontal="left" wrapText="1"/>
      <protection locked="0"/>
    </xf>
    <xf numFmtId="17" fontId="28" fillId="2" borderId="56" xfId="0" applyNumberFormat="1" applyFont="1" applyFill="1" applyBorder="1" applyAlignment="1" applyProtection="1">
      <alignment horizontal="left" wrapText="1"/>
      <protection locked="0"/>
    </xf>
    <xf numFmtId="17" fontId="28" fillId="2" borderId="99" xfId="0" applyNumberFormat="1" applyFont="1" applyFill="1" applyBorder="1" applyAlignment="1" applyProtection="1">
      <alignment horizontal="left" wrapText="1"/>
      <protection locked="0"/>
    </xf>
    <xf numFmtId="0" fontId="34" fillId="2" borderId="55" xfId="0" applyFont="1" applyFill="1" applyBorder="1" applyAlignment="1" applyProtection="1">
      <alignment horizontal="center"/>
      <protection locked="0"/>
    </xf>
    <xf numFmtId="0" fontId="34" fillId="2" borderId="46" xfId="0" applyFont="1" applyFill="1" applyBorder="1" applyAlignment="1" applyProtection="1">
      <alignment horizontal="center"/>
      <protection locked="0"/>
    </xf>
    <xf numFmtId="0" fontId="34" fillId="2" borderId="59" xfId="0" applyFont="1" applyFill="1" applyBorder="1" applyAlignment="1" applyProtection="1">
      <alignment horizontal="center"/>
      <protection locked="0"/>
    </xf>
    <xf numFmtId="0" fontId="0" fillId="3" borderId="0" xfId="0" applyFill="1" applyAlignment="1" applyProtection="1">
      <alignment horizontal="left" vertical="top"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40" xfId="0" applyFont="1" applyFill="1" applyBorder="1" applyAlignment="1" applyProtection="1">
      <alignment horizontal="left" vertical="top" wrapText="1"/>
      <protection locked="0"/>
    </xf>
    <xf numFmtId="0" fontId="42" fillId="3" borderId="0" xfId="0" applyFont="1" applyFill="1" applyAlignment="1" applyProtection="1">
      <alignment horizontal="left" wrapText="1"/>
      <protection locked="0"/>
    </xf>
    <xf numFmtId="0" fontId="34" fillId="2" borderId="63" xfId="0" applyFont="1" applyFill="1" applyBorder="1" applyAlignment="1" applyProtection="1">
      <alignment horizontal="center"/>
      <protection locked="0"/>
    </xf>
    <xf numFmtId="0" fontId="9" fillId="2" borderId="21" xfId="0" applyFont="1" applyFill="1" applyBorder="1" applyAlignment="1" applyProtection="1">
      <alignment horizontal="center" vertical="top" wrapText="1"/>
      <protection locked="0"/>
    </xf>
    <xf numFmtId="0" fontId="9" fillId="2" borderId="40" xfId="0" applyFont="1" applyFill="1" applyBorder="1" applyAlignment="1" applyProtection="1">
      <alignment horizontal="center" vertical="top" wrapText="1"/>
      <protection locked="0"/>
    </xf>
    <xf numFmtId="0" fontId="0" fillId="4" borderId="63" xfId="0" applyFill="1" applyBorder="1" applyAlignment="1">
      <alignment horizontal="center"/>
    </xf>
    <xf numFmtId="0" fontId="0" fillId="4" borderId="35" xfId="0" applyFill="1" applyBorder="1" applyAlignment="1">
      <alignment horizontal="center"/>
    </xf>
    <xf numFmtId="0" fontId="0" fillId="4" borderId="67"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cellXfs>
  <cellStyles count="379">
    <cellStyle name="%" xfId="12"/>
    <cellStyle name="% 2" xfId="13"/>
    <cellStyle name="%_Sheet1" xfId="14"/>
    <cellStyle name="%_Sheet1 2" xfId="15"/>
    <cellStyle name="%_Sheet2" xfId="16"/>
    <cellStyle name="%_Sheet2 2" xfId="17"/>
    <cellStyle name="0,0_x000d__x000a_NA_x000d__x000a_" xfId="18"/>
    <cellStyle name="20% - Accent1 2" xfId="19"/>
    <cellStyle name="20% - Accent1 3" xfId="20"/>
    <cellStyle name="20% - Accent1 4" xfId="21"/>
    <cellStyle name="20% - Accent1 5" xfId="22"/>
    <cellStyle name="20% - Accent1 6" xfId="23"/>
    <cellStyle name="20% - Accent2 2" xfId="24"/>
    <cellStyle name="20% - Accent2 3" xfId="25"/>
    <cellStyle name="20% - Accent2 4" xfId="26"/>
    <cellStyle name="20% - Accent2 5" xfId="27"/>
    <cellStyle name="20% - Accent2 6" xfId="28"/>
    <cellStyle name="20% - Accent3 2" xfId="29"/>
    <cellStyle name="20% - Accent3 3" xfId="30"/>
    <cellStyle name="20% - Accent3 4" xfId="31"/>
    <cellStyle name="20% - Accent3 5" xfId="32"/>
    <cellStyle name="20% - Accent3 6" xfId="33"/>
    <cellStyle name="20% - Accent4 2" xfId="34"/>
    <cellStyle name="20% - Accent4 3" xfId="35"/>
    <cellStyle name="20% - Accent4 4" xfId="36"/>
    <cellStyle name="20% - Accent4 5" xfId="37"/>
    <cellStyle name="20% - Accent4 6" xfId="38"/>
    <cellStyle name="20% - Accent5 2" xfId="39"/>
    <cellStyle name="20% - Accent5 3" xfId="40"/>
    <cellStyle name="20% - Accent5 4" xfId="41"/>
    <cellStyle name="20% - Accent5 5" xfId="42"/>
    <cellStyle name="20% - Accent5 6" xfId="43"/>
    <cellStyle name="20% - Accent6 2" xfId="44"/>
    <cellStyle name="20% - Accent6 3" xfId="45"/>
    <cellStyle name="20% - Accent6 4" xfId="46"/>
    <cellStyle name="20% - Accent6 5" xfId="47"/>
    <cellStyle name="20% - Accent6 6" xfId="48"/>
    <cellStyle name="40% - Accent1 2" xfId="49"/>
    <cellStyle name="40% - Accent1 3" xfId="50"/>
    <cellStyle name="40% - Accent1 4" xfId="51"/>
    <cellStyle name="40% - Accent1 5" xfId="52"/>
    <cellStyle name="40% - Accent1 6" xfId="53"/>
    <cellStyle name="40% - Accent2 2" xfId="54"/>
    <cellStyle name="40% - Accent2 3" xfId="55"/>
    <cellStyle name="40% - Accent2 4" xfId="56"/>
    <cellStyle name="40% - Accent2 5" xfId="57"/>
    <cellStyle name="40% - Accent2 6" xfId="58"/>
    <cellStyle name="40% - Accent3 2" xfId="59"/>
    <cellStyle name="40% - Accent3 3" xfId="60"/>
    <cellStyle name="40% - Accent3 4" xfId="61"/>
    <cellStyle name="40% - Accent3 5" xfId="62"/>
    <cellStyle name="40% - Accent3 6" xfId="63"/>
    <cellStyle name="40% - Accent4 2" xfId="64"/>
    <cellStyle name="40% - Accent4 3" xfId="65"/>
    <cellStyle name="40% - Accent4 4" xfId="66"/>
    <cellStyle name="40% - Accent4 5" xfId="67"/>
    <cellStyle name="40% - Accent4 6" xfId="68"/>
    <cellStyle name="40% - Accent5 2" xfId="69"/>
    <cellStyle name="40% - Accent5 3" xfId="70"/>
    <cellStyle name="40% - Accent5 4" xfId="71"/>
    <cellStyle name="40% - Accent5 5" xfId="72"/>
    <cellStyle name="40% - Accent5 6" xfId="73"/>
    <cellStyle name="40% - Accent6 2" xfId="74"/>
    <cellStyle name="40% - Accent6 3" xfId="75"/>
    <cellStyle name="40% - Accent6 4" xfId="76"/>
    <cellStyle name="40% - Accent6 5" xfId="77"/>
    <cellStyle name="40% - Accent6 6" xfId="78"/>
    <cellStyle name="60% - Accent1 2" xfId="79"/>
    <cellStyle name="60% - Accent1 3" xfId="80"/>
    <cellStyle name="60% - Accent1 4" xfId="81"/>
    <cellStyle name="60% - Accent1 5" xfId="82"/>
    <cellStyle name="60% - Accent1 6" xfId="83"/>
    <cellStyle name="60% - Accent2 2" xfId="84"/>
    <cellStyle name="60% - Accent2 3" xfId="85"/>
    <cellStyle name="60% - Accent2 4" xfId="86"/>
    <cellStyle name="60% - Accent2 5" xfId="87"/>
    <cellStyle name="60% - Accent2 6" xfId="88"/>
    <cellStyle name="60% - Accent3 2" xfId="89"/>
    <cellStyle name="60% - Accent3 3" xfId="90"/>
    <cellStyle name="60% - Accent3 4" xfId="91"/>
    <cellStyle name="60% - Accent3 5" xfId="92"/>
    <cellStyle name="60% - Accent3 6" xfId="93"/>
    <cellStyle name="60% - Accent4 2" xfId="94"/>
    <cellStyle name="60% - Accent4 3" xfId="95"/>
    <cellStyle name="60% - Accent4 4" xfId="96"/>
    <cellStyle name="60% - Accent4 5" xfId="97"/>
    <cellStyle name="60% - Accent4 6" xfId="98"/>
    <cellStyle name="60% - Accent5 2" xfId="99"/>
    <cellStyle name="60% - Accent5 3" xfId="100"/>
    <cellStyle name="60% - Accent5 4" xfId="101"/>
    <cellStyle name="60% - Accent5 5" xfId="102"/>
    <cellStyle name="60% - Accent5 6" xfId="103"/>
    <cellStyle name="60% - Accent6 2" xfId="104"/>
    <cellStyle name="60% - Accent6 3" xfId="105"/>
    <cellStyle name="60% - Accent6 4" xfId="106"/>
    <cellStyle name="60% - Accent6 5" xfId="107"/>
    <cellStyle name="60% - Accent6 6" xfId="108"/>
    <cellStyle name="Accent1 2" xfId="109"/>
    <cellStyle name="Accent1 3" xfId="110"/>
    <cellStyle name="Accent1 4" xfId="111"/>
    <cellStyle name="Accent1 5" xfId="112"/>
    <cellStyle name="Accent1 6" xfId="113"/>
    <cellStyle name="Accent2 2" xfId="114"/>
    <cellStyle name="Accent2 3" xfId="115"/>
    <cellStyle name="Accent2 4" xfId="116"/>
    <cellStyle name="Accent2 5" xfId="117"/>
    <cellStyle name="Accent2 6" xfId="118"/>
    <cellStyle name="Accent3 2" xfId="119"/>
    <cellStyle name="Accent3 3" xfId="120"/>
    <cellStyle name="Accent3 4" xfId="121"/>
    <cellStyle name="Accent3 5" xfId="122"/>
    <cellStyle name="Accent3 6" xfId="123"/>
    <cellStyle name="Accent4 2" xfId="124"/>
    <cellStyle name="Accent4 3" xfId="125"/>
    <cellStyle name="Accent4 4" xfId="126"/>
    <cellStyle name="Accent4 5" xfId="127"/>
    <cellStyle name="Accent4 6" xfId="128"/>
    <cellStyle name="Accent5 2" xfId="129"/>
    <cellStyle name="Accent5 3" xfId="130"/>
    <cellStyle name="Accent5 4" xfId="131"/>
    <cellStyle name="Accent5 5" xfId="132"/>
    <cellStyle name="Accent5 6" xfId="133"/>
    <cellStyle name="Accent6 2" xfId="134"/>
    <cellStyle name="Accent6 3" xfId="135"/>
    <cellStyle name="Accent6 4" xfId="136"/>
    <cellStyle name="Accent6 5" xfId="137"/>
    <cellStyle name="Accent6 6" xfId="138"/>
    <cellStyle name="Assumptions Heading_Pivot_Table_Example_BA" xfId="139"/>
    <cellStyle name="Assumptions Right Currency_Pivot_Table_Example_BA" xfId="140"/>
    <cellStyle name="Bad 2" xfId="141"/>
    <cellStyle name="Bad 3" xfId="142"/>
    <cellStyle name="Bad 4" xfId="143"/>
    <cellStyle name="Bad 5" xfId="144"/>
    <cellStyle name="Bad 6" xfId="145"/>
    <cellStyle name="BM Header Main" xfId="146"/>
    <cellStyle name="BM Header Non-Underlined" xfId="147"/>
    <cellStyle name="BM Header Secondary" xfId="148"/>
    <cellStyle name="BM Header Underlined" xfId="149"/>
    <cellStyle name="BM Input" xfId="150"/>
    <cellStyle name="BM Input External Link" xfId="151"/>
    <cellStyle name="BM Input Modeller" xfId="152"/>
    <cellStyle name="BM Input Static" xfId="153"/>
    <cellStyle name="BM Label" xfId="154"/>
    <cellStyle name="BM UF in Col E" xfId="155"/>
    <cellStyle name="Calc" xfId="156"/>
    <cellStyle name="Calc - Blue" xfId="157"/>
    <cellStyle name="Calc - Blue 2" xfId="158"/>
    <cellStyle name="Calc - Feed" xfId="159"/>
    <cellStyle name="Calc - Feed 2" xfId="160"/>
    <cellStyle name="Calc - Green" xfId="161"/>
    <cellStyle name="Calc - Green 2" xfId="162"/>
    <cellStyle name="Calc - Grey" xfId="163"/>
    <cellStyle name="Calc - Grey 2" xfId="164"/>
    <cellStyle name="Calc - White" xfId="165"/>
    <cellStyle name="Calc - White 2" xfId="166"/>
    <cellStyle name="Calc 2" xfId="167"/>
    <cellStyle name="Calculated Field" xfId="168"/>
    <cellStyle name="Calculated Field 2" xfId="169"/>
    <cellStyle name="Calculation 2" xfId="170"/>
    <cellStyle name="Calculation 3" xfId="171"/>
    <cellStyle name="Calculation 4" xfId="172"/>
    <cellStyle name="Calculation 5" xfId="173"/>
    <cellStyle name="Calculation 6" xfId="174"/>
    <cellStyle name="Check Cell 2" xfId="175"/>
    <cellStyle name="Check Cell 3" xfId="176"/>
    <cellStyle name="Check Cell 4" xfId="177"/>
    <cellStyle name="Check Cell 5" xfId="178"/>
    <cellStyle name="Check Cell 6" xfId="179"/>
    <cellStyle name="CodeHeading" xfId="180"/>
    <cellStyle name="CodeHeading 2" xfId="181"/>
    <cellStyle name="CodeHeading 3" xfId="182"/>
    <cellStyle name="CodeHeading 4" xfId="183"/>
    <cellStyle name="CodeHeading 5" xfId="184"/>
    <cellStyle name="CodeHeading 6" xfId="185"/>
    <cellStyle name="CodeHeading_5A4 PCT Slides 2010-11" xfId="186"/>
    <cellStyle name="Comma" xfId="1" builtinId="3"/>
    <cellStyle name="Comma 2" xfId="4"/>
    <cellStyle name="Comma 2 2" xfId="187"/>
    <cellStyle name="Comma 3" xfId="188"/>
    <cellStyle name="Comma 3 2" xfId="189"/>
    <cellStyle name="Comma 4" xfId="190"/>
    <cellStyle name="Comma 4 2" xfId="191"/>
    <cellStyle name="Date Feeder Field" xfId="192"/>
    <cellStyle name="Exception" xfId="193"/>
    <cellStyle name="Explanation" xfId="194"/>
    <cellStyle name="Explanatory Text 2" xfId="195"/>
    <cellStyle name="Explanatory Text 3" xfId="196"/>
    <cellStyle name="Explanatory Text 4" xfId="197"/>
    <cellStyle name="Explanatory Text 5" xfId="198"/>
    <cellStyle name="Explanatory Text 6" xfId="199"/>
    <cellStyle name="EYCheck" xfId="200"/>
    <cellStyle name="EYDate" xfId="201"/>
    <cellStyle name="EYHeader1" xfId="202"/>
    <cellStyle name="EYHeader2" xfId="203"/>
    <cellStyle name="EYInputValue" xfId="204"/>
    <cellStyle name="EYPercent" xfId="205"/>
    <cellStyle name="Feeder Field" xfId="206"/>
    <cellStyle name="Good 2" xfId="207"/>
    <cellStyle name="Good 3" xfId="208"/>
    <cellStyle name="Good 4" xfId="209"/>
    <cellStyle name="Good 5" xfId="210"/>
    <cellStyle name="Good 6" xfId="211"/>
    <cellStyle name="Greyed" xfId="212"/>
    <cellStyle name="Greyed 2" xfId="213"/>
    <cellStyle name="Greyed 3" xfId="214"/>
    <cellStyle name="Greyed out" xfId="215"/>
    <cellStyle name="Greyed_5A4 PCT Slides 2010-11" xfId="216"/>
    <cellStyle name="Heading 1 2" xfId="217"/>
    <cellStyle name="Heading 1 3" xfId="218"/>
    <cellStyle name="Heading 1 4" xfId="219"/>
    <cellStyle name="Heading 1 5" xfId="220"/>
    <cellStyle name="Heading 1 6" xfId="221"/>
    <cellStyle name="Heading 2 2" xfId="222"/>
    <cellStyle name="Heading 2 3" xfId="223"/>
    <cellStyle name="Heading 2 4" xfId="224"/>
    <cellStyle name="Heading 2 5" xfId="225"/>
    <cellStyle name="Heading 2 6" xfId="226"/>
    <cellStyle name="Heading 3 2" xfId="227"/>
    <cellStyle name="Heading 3 3" xfId="228"/>
    <cellStyle name="Heading 3 4" xfId="229"/>
    <cellStyle name="Heading 3 5" xfId="230"/>
    <cellStyle name="Heading 3 6" xfId="231"/>
    <cellStyle name="Heading 4 2" xfId="232"/>
    <cellStyle name="Heading 4 3" xfId="233"/>
    <cellStyle name="Heading 4 4" xfId="234"/>
    <cellStyle name="Heading 4 5" xfId="235"/>
    <cellStyle name="Heading 4 6" xfId="236"/>
    <cellStyle name="Hyperlink 2" xfId="237"/>
    <cellStyle name="Input 1" xfId="238"/>
    <cellStyle name="Input 2" xfId="239"/>
    <cellStyle name="Input 2 2" xfId="240"/>
    <cellStyle name="Input 2 2 2" xfId="241"/>
    <cellStyle name="Input 2 2 3" xfId="242"/>
    <cellStyle name="Input 2 2 4" xfId="243"/>
    <cellStyle name="Input 2 3" xfId="244"/>
    <cellStyle name="Input 2 4" xfId="245"/>
    <cellStyle name="Input 2 5" xfId="246"/>
    <cellStyle name="Input 2 6" xfId="247"/>
    <cellStyle name="Input 2_5A4 10-11 Templates Final" xfId="248"/>
    <cellStyle name="Input 3" xfId="249"/>
    <cellStyle name="Input 4" xfId="250"/>
    <cellStyle name="Input 5" xfId="251"/>
    <cellStyle name="Input 6" xfId="252"/>
    <cellStyle name="Input Cell" xfId="253"/>
    <cellStyle name="KPMG Heading 1" xfId="254"/>
    <cellStyle name="KPMG Heading 2" xfId="255"/>
    <cellStyle name="KPMG Heading 3" xfId="256"/>
    <cellStyle name="KPMG Heading 4" xfId="257"/>
    <cellStyle name="KPMG Normal" xfId="258"/>
    <cellStyle name="KPMG Normal Text" xfId="259"/>
    <cellStyle name="Large" xfId="260"/>
    <cellStyle name="Large 2" xfId="261"/>
    <cellStyle name="Linked Cell 2" xfId="262"/>
    <cellStyle name="Linked Cell 3" xfId="263"/>
    <cellStyle name="Linked Cell 4" xfId="264"/>
    <cellStyle name="Linked Cell 5" xfId="265"/>
    <cellStyle name="Linked Cell 6" xfId="266"/>
    <cellStyle name="Mid_Centred" xfId="267"/>
    <cellStyle name="Named Range" xfId="268"/>
    <cellStyle name="Named Range Cells" xfId="269"/>
    <cellStyle name="Named Range Tag" xfId="270"/>
    <cellStyle name="Neutral 2" xfId="271"/>
    <cellStyle name="Neutral 3" xfId="272"/>
    <cellStyle name="Neutral 4" xfId="273"/>
    <cellStyle name="Neutral 5" xfId="274"/>
    <cellStyle name="Neutral 6" xfId="275"/>
    <cellStyle name="Normal" xfId="0" builtinId="0"/>
    <cellStyle name="Normal 10" xfId="276"/>
    <cellStyle name="Normal 11" xfId="277"/>
    <cellStyle name="Normal 12" xfId="278"/>
    <cellStyle name="Normal 12 2" xfId="279"/>
    <cellStyle name="Normal 13" xfId="280"/>
    <cellStyle name="Normal 2" xfId="5"/>
    <cellStyle name="Normal 2 2" xfId="3"/>
    <cellStyle name="Normal 2 2 2" xfId="6"/>
    <cellStyle name="Normal 2 3" xfId="7"/>
    <cellStyle name="Normal 2 3 2" xfId="281"/>
    <cellStyle name="Normal 2 4" xfId="8"/>
    <cellStyle name="Normal 2_Additional PCT Template - In Year Monitoring" xfId="282"/>
    <cellStyle name="Normal 3" xfId="9"/>
    <cellStyle name="Normal 3 2" xfId="283"/>
    <cellStyle name="Normal 3 2 2" xfId="284"/>
    <cellStyle name="Normal 3 3" xfId="285"/>
    <cellStyle name="Normal 3 3 2" xfId="286"/>
    <cellStyle name="Normal 3 4" xfId="287"/>
    <cellStyle name="Normal 4" xfId="10"/>
    <cellStyle name="Normal 4 2" xfId="288"/>
    <cellStyle name="Normal 4 2 2" xfId="289"/>
    <cellStyle name="Normal 4 3" xfId="290"/>
    <cellStyle name="Normal 4 3 2" xfId="291"/>
    <cellStyle name="Normal 4 4" xfId="292"/>
    <cellStyle name="Normal 4 4 2" xfId="293"/>
    <cellStyle name="Normal 4 5" xfId="294"/>
    <cellStyle name="Normal 4 5 2" xfId="295"/>
    <cellStyle name="Normal 4 6" xfId="296"/>
    <cellStyle name="Normal 4 6 2" xfId="297"/>
    <cellStyle name="Normal 4 7" xfId="298"/>
    <cellStyle name="Normal 4_5A4 10-11 Templates Final" xfId="299"/>
    <cellStyle name="Normal 5" xfId="300"/>
    <cellStyle name="Normal 5 2" xfId="301"/>
    <cellStyle name="Normal 5 2 2" xfId="302"/>
    <cellStyle name="Normal 5 3" xfId="303"/>
    <cellStyle name="Normal 5 3 2" xfId="304"/>
    <cellStyle name="Normal 5 4" xfId="305"/>
    <cellStyle name="Normal 5 4 2" xfId="306"/>
    <cellStyle name="Normal 5 5" xfId="307"/>
    <cellStyle name="Normal 5 5 2" xfId="308"/>
    <cellStyle name="Normal 5 6" xfId="309"/>
    <cellStyle name="Normal 5 6 2" xfId="310"/>
    <cellStyle name="Normal 5 7" xfId="311"/>
    <cellStyle name="Normal 5_5A4 10-11 Templates Final" xfId="312"/>
    <cellStyle name="Normal 6" xfId="313"/>
    <cellStyle name="Normal 6 2" xfId="314"/>
    <cellStyle name="Normal 7" xfId="315"/>
    <cellStyle name="Normal 7 2" xfId="316"/>
    <cellStyle name="Normal 8" xfId="317"/>
    <cellStyle name="Normal 8 2" xfId="318"/>
    <cellStyle name="Normal 9" xfId="319"/>
    <cellStyle name="Note 2" xfId="320"/>
    <cellStyle name="Note 2 2" xfId="321"/>
    <cellStyle name="Note 3" xfId="322"/>
    <cellStyle name="Note 3 2" xfId="323"/>
    <cellStyle name="Note 4" xfId="324"/>
    <cellStyle name="Note 4 2" xfId="325"/>
    <cellStyle name="Note 5" xfId="326"/>
    <cellStyle name="Note 5 2" xfId="327"/>
    <cellStyle name="Note 6" xfId="328"/>
    <cellStyle name="Note 6 2" xfId="329"/>
    <cellStyle name="Output 2" xfId="330"/>
    <cellStyle name="Output 3" xfId="331"/>
    <cellStyle name="Output 4" xfId="332"/>
    <cellStyle name="Output 5" xfId="333"/>
    <cellStyle name="Output 6" xfId="334"/>
    <cellStyle name="Output Amounts" xfId="335"/>
    <cellStyle name="Output Column Headings" xfId="336"/>
    <cellStyle name="Output Line Items" xfId="337"/>
    <cellStyle name="Output Report Heading" xfId="338"/>
    <cellStyle name="Output Report Title" xfId="339"/>
    <cellStyle name="Percent" xfId="2" builtinId="5"/>
    <cellStyle name="Percent +/-" xfId="340"/>
    <cellStyle name="Percent 2" xfId="11"/>
    <cellStyle name="Percent 2 2" xfId="341"/>
    <cellStyle name="Percent 3" xfId="342"/>
    <cellStyle name="Percent 3 2" xfId="343"/>
    <cellStyle name="Percent 3 2 2" xfId="344"/>
    <cellStyle name="Percent 3 3" xfId="345"/>
    <cellStyle name="Percent 4" xfId="346"/>
    <cellStyle name="Shaded" xfId="347"/>
    <cellStyle name="Shaded 2" xfId="348"/>
    <cellStyle name="Style 1" xfId="349"/>
    <cellStyle name="Style 1 2" xfId="350"/>
    <cellStyle name="Style 1 3" xfId="351"/>
    <cellStyle name="Style 1_MONTH 5" xfId="352"/>
    <cellStyle name="Title 1" xfId="353"/>
    <cellStyle name="Title 2" xfId="354"/>
    <cellStyle name="Title 2 2" xfId="355"/>
    <cellStyle name="Title 2 2 2" xfId="356"/>
    <cellStyle name="Title 2 2 3" xfId="357"/>
    <cellStyle name="Title 2 2 4" xfId="358"/>
    <cellStyle name="Title 2 3" xfId="359"/>
    <cellStyle name="Title 2 4" xfId="360"/>
    <cellStyle name="Title 2 5" xfId="361"/>
    <cellStyle name="Title 2 6" xfId="362"/>
    <cellStyle name="Title 2_5A4 10-11 Templates Final" xfId="363"/>
    <cellStyle name="Title 3" xfId="364"/>
    <cellStyle name="Title 4" xfId="365"/>
    <cellStyle name="Title 5" xfId="366"/>
    <cellStyle name="Title 6" xfId="367"/>
    <cellStyle name="Top_Centred" xfId="368"/>
    <cellStyle name="Total 2" xfId="369"/>
    <cellStyle name="Total 3" xfId="370"/>
    <cellStyle name="Total 4" xfId="371"/>
    <cellStyle name="Total 5" xfId="372"/>
    <cellStyle name="Total 6" xfId="373"/>
    <cellStyle name="Warning Text 2" xfId="374"/>
    <cellStyle name="Warning Text 3" xfId="375"/>
    <cellStyle name="Warning Text 4" xfId="376"/>
    <cellStyle name="Warning Text 5" xfId="377"/>
    <cellStyle name="Warning Text 6" xfId="378"/>
  </cellStyles>
  <dxfs count="41">
    <dxf>
      <numFmt numFmtId="173" formatCode="#,##0_ ;[Red]\-#,##0\ "/>
    </dxf>
    <dxf>
      <numFmt numFmtId="173" formatCode="#,##0_ ;[Red]\-#,##0\ "/>
    </dxf>
    <dxf>
      <fill>
        <patternFill>
          <bgColor rgb="FFFF0000"/>
        </patternFill>
      </fill>
    </dxf>
    <dxf>
      <fill>
        <patternFill>
          <bgColor rgb="FFFF0000"/>
        </patternFill>
      </fill>
    </dxf>
    <dxf>
      <fill>
        <patternFill>
          <fgColor indexed="64"/>
          <bgColor rgb="FF92D050"/>
        </patternFill>
      </fill>
    </dxf>
    <dxf>
      <fill>
        <patternFill>
          <fgColor indexed="64"/>
          <bgColor rgb="FFFF0000"/>
        </patternFill>
      </fill>
    </dxf>
    <dxf>
      <fill>
        <patternFill>
          <fgColor indexed="64"/>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C000"/>
        </patternFill>
      </fill>
    </dxf>
    <dxf>
      <fill>
        <patternFill>
          <fgColor indexed="64"/>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92D050"/>
        </patternFill>
      </fill>
    </dxf>
    <dxf>
      <numFmt numFmtId="172" formatCode="0.0%"/>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063336198693"/>
          <c:y val="7.9252992527029081E-2"/>
          <c:w val="0.60476538796752011"/>
          <c:h val="0.72629288671960779"/>
        </c:manualLayout>
      </c:layout>
      <c:lineChart>
        <c:grouping val="standard"/>
        <c:varyColors val="0"/>
        <c:ser>
          <c:idx val="0"/>
          <c:order val="0"/>
          <c:tx>
            <c:strRef>
              <c:f>'7. Metric trends'!$C$43</c:f>
              <c:strCache>
                <c:ptCount val="1"/>
                <c:pt idx="0">
                  <c:v>Historic and projected annual rate</c:v>
                </c:pt>
              </c:strCache>
            </c:strRef>
          </c:tx>
          <c:spPr>
            <a:ln>
              <a:noFill/>
            </a:ln>
          </c:spPr>
          <c:marker>
            <c:symbol val="diamond"/>
            <c:size val="9"/>
            <c:spPr>
              <a:solidFill>
                <a:schemeClr val="tx1"/>
              </a:solidFill>
            </c:spPr>
          </c:marker>
          <c:trendline>
            <c:trendlineType val="linear"/>
            <c:dispRSqr val="0"/>
            <c:dispEq val="0"/>
          </c:trendline>
          <c:cat>
            <c:strRef>
              <c:f>'7. Metric trends'!$D$41:$H$41</c:f>
              <c:strCache>
                <c:ptCount val="5"/>
                <c:pt idx="0">
                  <c:v>2011-12</c:v>
                </c:pt>
                <c:pt idx="1">
                  <c:v>2012-13</c:v>
                </c:pt>
                <c:pt idx="2">
                  <c:v>2013-14 baseline</c:v>
                </c:pt>
                <c:pt idx="3">
                  <c:v>2014-15</c:v>
                </c:pt>
                <c:pt idx="4">
                  <c:v>2015-16</c:v>
                </c:pt>
              </c:strCache>
            </c:strRef>
          </c:cat>
          <c:val>
            <c:numRef>
              <c:f>'7. Metric trends'!$D$43:$H$43</c:f>
              <c:numCache>
                <c:formatCode>_-* #,##0_-;\-* #,##0_-;_-* "-"??_-;_-@_-</c:formatCode>
                <c:ptCount val="5"/>
                <c:pt idx="0">
                  <c:v>580.29999999999995</c:v>
                </c:pt>
                <c:pt idx="1">
                  <c:v>735.3</c:v>
                </c:pt>
                <c:pt idx="2">
                  <c:v>764.2</c:v>
                </c:pt>
                <c:pt idx="3">
                  <c:v>877.16666666666686</c:v>
                </c:pt>
                <c:pt idx="4">
                  <c:v>969.1166666666669</c:v>
                </c:pt>
              </c:numCache>
            </c:numRef>
          </c:val>
          <c:smooth val="0"/>
        </c:ser>
        <c:ser>
          <c:idx val="1"/>
          <c:order val="1"/>
          <c:tx>
            <c:strRef>
              <c:f>'7. Metric trends'!$C$46</c:f>
              <c:strCache>
                <c:ptCount val="1"/>
                <c:pt idx="0">
                  <c:v>Planned (from ''HWB Supporting Metrics' tab)</c:v>
                </c:pt>
              </c:strCache>
            </c:strRef>
          </c:tx>
          <c:spPr>
            <a:ln w="28575">
              <a:noFill/>
            </a:ln>
          </c:spPr>
          <c:marker>
            <c:symbol val="x"/>
            <c:size val="7"/>
            <c:spPr>
              <a:ln>
                <a:solidFill>
                  <a:schemeClr val="tx1"/>
                </a:solidFill>
              </a:ln>
            </c:spPr>
          </c:marker>
          <c:val>
            <c:numRef>
              <c:f>'7. Metric trends'!$D$46:$H$46</c:f>
              <c:numCache>
                <c:formatCode>_-* #,##0_-;\-* #,##0_-;_-* "-"??_-;_-@_-</c:formatCode>
                <c:ptCount val="5"/>
                <c:pt idx="0">
                  <c:v>580.29999999999995</c:v>
                </c:pt>
                <c:pt idx="1">
                  <c:v>735.3</c:v>
                </c:pt>
                <c:pt idx="2">
                  <c:v>764.2</c:v>
                </c:pt>
                <c:pt idx="3">
                  <c:v>709.96858008692789</c:v>
                </c:pt>
                <c:pt idx="4">
                  <c:v>671.37354224289788</c:v>
                </c:pt>
              </c:numCache>
            </c:numRef>
          </c:val>
          <c:smooth val="0"/>
        </c:ser>
        <c:dLbls>
          <c:showLegendKey val="0"/>
          <c:showVal val="0"/>
          <c:showCatName val="0"/>
          <c:showSerName val="0"/>
          <c:showPercent val="0"/>
          <c:showBubbleSize val="0"/>
        </c:dLbls>
        <c:marker val="1"/>
        <c:smooth val="0"/>
        <c:axId val="183232768"/>
        <c:axId val="183640448"/>
      </c:lineChart>
      <c:catAx>
        <c:axId val="183232768"/>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183640448"/>
        <c:crosses val="autoZero"/>
        <c:auto val="1"/>
        <c:lblAlgn val="ctr"/>
        <c:lblOffset val="100"/>
        <c:noMultiLvlLbl val="0"/>
      </c:catAx>
      <c:valAx>
        <c:axId val="183640448"/>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Rate</a:t>
                </a:r>
                <a:r>
                  <a:rPr lang="en-GB" b="0" baseline="0"/>
                  <a:t> per 100,000</a:t>
                </a:r>
                <a:endParaRPr lang="en-GB" b="0"/>
              </a:p>
            </c:rich>
          </c:tx>
          <c:layout>
            <c:manualLayout>
              <c:xMode val="edge"/>
              <c:yMode val="edge"/>
              <c:x val="3.3397552653234283E-2"/>
              <c:y val="0.29932026014380403"/>
            </c:manualLayout>
          </c:layout>
          <c:overlay val="0"/>
        </c:title>
        <c:numFmt formatCode="General" sourceLinked="0"/>
        <c:majorTickMark val="out"/>
        <c:minorTickMark val="none"/>
        <c:tickLblPos val="nextTo"/>
        <c:crossAx val="183232768"/>
        <c:crosses val="autoZero"/>
        <c:crossBetween val="between"/>
      </c:valAx>
      <c:spPr>
        <a:solidFill>
          <a:schemeClr val="bg1">
            <a:lumMod val="85000"/>
          </a:schemeClr>
        </a:solidFill>
      </c:spPr>
    </c:plotArea>
    <c:legend>
      <c:legendPos val="r"/>
      <c:layout>
        <c:manualLayout>
          <c:xMode val="edge"/>
          <c:yMode val="edge"/>
          <c:x val="0.75965102546625818"/>
          <c:y val="0.25872336009357905"/>
          <c:w val="0.19878388477072242"/>
          <c:h val="0.44391812475010317"/>
        </c:manualLayout>
      </c:layout>
      <c:overlay val="1"/>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972204103921"/>
          <c:y val="6.7905319174552725E-2"/>
          <c:w val="0.63220082287011425"/>
          <c:h val="0.76169996217721692"/>
        </c:manualLayout>
      </c:layout>
      <c:lineChart>
        <c:grouping val="standard"/>
        <c:varyColors val="0"/>
        <c:ser>
          <c:idx val="0"/>
          <c:order val="0"/>
          <c:tx>
            <c:strRef>
              <c:f>'7. Metric trends'!$C$66</c:f>
              <c:strCache>
                <c:ptCount val="1"/>
                <c:pt idx="0">
                  <c:v>Historic and projected annual %</c:v>
                </c:pt>
              </c:strCache>
            </c:strRef>
          </c:tx>
          <c:spPr>
            <a:ln>
              <a:noFill/>
            </a:ln>
          </c:spPr>
          <c:marker>
            <c:symbol val="diamond"/>
            <c:size val="9"/>
            <c:spPr>
              <a:solidFill>
                <a:schemeClr val="tx1"/>
              </a:solidFill>
            </c:spPr>
          </c:marker>
          <c:trendline>
            <c:trendlineType val="linear"/>
            <c:dispRSqr val="0"/>
            <c:dispEq val="0"/>
          </c:trendline>
          <c:cat>
            <c:strRef>
              <c:f>'7. Metric trends'!$D$64:$H$64</c:f>
              <c:strCache>
                <c:ptCount val="5"/>
                <c:pt idx="0">
                  <c:v>2011-12</c:v>
                </c:pt>
                <c:pt idx="1">
                  <c:v>2012-13</c:v>
                </c:pt>
                <c:pt idx="2">
                  <c:v>2013-14</c:v>
                </c:pt>
                <c:pt idx="3">
                  <c:v>2014-15</c:v>
                </c:pt>
                <c:pt idx="4">
                  <c:v>2015-16</c:v>
                </c:pt>
              </c:strCache>
            </c:strRef>
          </c:cat>
          <c:val>
            <c:numRef>
              <c:f>'7. Metric trends'!$D$66:$H$66</c:f>
              <c:numCache>
                <c:formatCode>General</c:formatCode>
                <c:ptCount val="5"/>
                <c:pt idx="0">
                  <c:v>77.2</c:v>
                </c:pt>
                <c:pt idx="1">
                  <c:v>83.1</c:v>
                </c:pt>
                <c:pt idx="2">
                  <c:v>87</c:v>
                </c:pt>
                <c:pt idx="3" formatCode="_-* #,##0.0_-;\-* #,##0.0_-;_-* &quot;-&quot;??_-;_-@_-">
                  <c:v>92.233333333333334</c:v>
                </c:pt>
                <c:pt idx="4" formatCode="_-* #,##0.0_-;\-* #,##0.0_-;_-* &quot;-&quot;??_-;_-@_-">
                  <c:v>97.133333333333326</c:v>
                </c:pt>
              </c:numCache>
            </c:numRef>
          </c:val>
          <c:smooth val="0"/>
        </c:ser>
        <c:ser>
          <c:idx val="1"/>
          <c:order val="1"/>
          <c:tx>
            <c:strRef>
              <c:f>'7. Metric trends'!$C$69</c:f>
              <c:strCache>
                <c:ptCount val="1"/>
                <c:pt idx="0">
                  <c:v>Planned (from ''HWB Supporting Metrics' tab)</c:v>
                </c:pt>
              </c:strCache>
            </c:strRef>
          </c:tx>
          <c:spPr>
            <a:ln w="15875">
              <a:noFill/>
            </a:ln>
          </c:spPr>
          <c:marker>
            <c:symbol val="x"/>
            <c:size val="5"/>
            <c:spPr>
              <a:ln>
                <a:solidFill>
                  <a:schemeClr val="tx1"/>
                </a:solidFill>
              </a:ln>
            </c:spPr>
          </c:marker>
          <c:val>
            <c:numRef>
              <c:f>'7. Metric trends'!$D$69:$H$69</c:f>
              <c:numCache>
                <c:formatCode>_-* #,##0.0_-;\-* #,##0.0_-;_-* "-"??_-;_-@_-</c:formatCode>
                <c:ptCount val="5"/>
                <c:pt idx="0">
                  <c:v>77.2</c:v>
                </c:pt>
                <c:pt idx="1">
                  <c:v>83.1</c:v>
                </c:pt>
                <c:pt idx="2">
                  <c:v>87</c:v>
                </c:pt>
                <c:pt idx="3">
                  <c:v>88.84615384615384</c:v>
                </c:pt>
                <c:pt idx="4">
                  <c:v>90</c:v>
                </c:pt>
              </c:numCache>
            </c:numRef>
          </c:val>
          <c:smooth val="0"/>
        </c:ser>
        <c:dLbls>
          <c:showLegendKey val="0"/>
          <c:showVal val="0"/>
          <c:showCatName val="0"/>
          <c:showSerName val="0"/>
          <c:showPercent val="0"/>
          <c:showBubbleSize val="0"/>
        </c:dLbls>
        <c:marker val="1"/>
        <c:smooth val="0"/>
        <c:axId val="183649792"/>
        <c:axId val="183651712"/>
      </c:lineChart>
      <c:catAx>
        <c:axId val="183649792"/>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183651712"/>
        <c:crosses val="autoZero"/>
        <c:auto val="1"/>
        <c:lblAlgn val="ctr"/>
        <c:lblOffset val="100"/>
        <c:noMultiLvlLbl val="0"/>
      </c:catAx>
      <c:valAx>
        <c:axId val="183651712"/>
        <c:scaling>
          <c:orientation val="minMax"/>
          <c:max val="100"/>
        </c:scaling>
        <c:delete val="0"/>
        <c:axPos val="l"/>
        <c:majorGridlines>
          <c:spPr>
            <a:ln>
              <a:solidFill>
                <a:schemeClr val="bg1">
                  <a:lumMod val="75000"/>
                </a:schemeClr>
              </a:solidFill>
            </a:ln>
          </c:spPr>
        </c:majorGridlines>
        <c:title>
          <c:tx>
            <c:rich>
              <a:bodyPr rot="-5400000" vert="horz"/>
              <a:lstStyle/>
              <a:p>
                <a:pPr>
                  <a:defRPr b="0"/>
                </a:pPr>
                <a:r>
                  <a:rPr lang="en-GB" b="0"/>
                  <a:t>Proportion</a:t>
                </a:r>
              </a:p>
            </c:rich>
          </c:tx>
          <c:layout>
            <c:manualLayout>
              <c:xMode val="edge"/>
              <c:yMode val="edge"/>
              <c:x val="0"/>
              <c:y val="0.29666931541814157"/>
            </c:manualLayout>
          </c:layout>
          <c:overlay val="0"/>
        </c:title>
        <c:numFmt formatCode="General" sourceLinked="1"/>
        <c:majorTickMark val="out"/>
        <c:minorTickMark val="none"/>
        <c:tickLblPos val="nextTo"/>
        <c:crossAx val="183649792"/>
        <c:crosses val="autoZero"/>
        <c:crossBetween val="between"/>
      </c:valAx>
      <c:spPr>
        <a:solidFill>
          <a:schemeClr val="bg1">
            <a:lumMod val="85000"/>
          </a:schemeClr>
        </a:solidFill>
      </c:spPr>
    </c:plotArea>
    <c:legend>
      <c:legendPos val="r"/>
      <c:layout>
        <c:manualLayout>
          <c:xMode val="edge"/>
          <c:yMode val="edge"/>
          <c:x val="0.79515237733064537"/>
          <c:y val="0.29573244392485876"/>
          <c:w val="0.20484762266935466"/>
          <c:h val="0.47625485303718157"/>
        </c:manualLayout>
      </c:layout>
      <c:overlay val="0"/>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00925601590492E-2"/>
          <c:y val="6.7905319174552725E-2"/>
          <c:w val="0.82032075411069805"/>
          <c:h val="0.72911455396385649"/>
        </c:manualLayout>
      </c:layout>
      <c:lineChart>
        <c:grouping val="standard"/>
        <c:varyColors val="0"/>
        <c:ser>
          <c:idx val="0"/>
          <c:order val="0"/>
          <c:tx>
            <c:strRef>
              <c:f>'7. Metric trends'!$C$89</c:f>
              <c:strCache>
                <c:ptCount val="1"/>
                <c:pt idx="0">
                  <c:v>Historic and projected delayed transfers</c:v>
                </c:pt>
              </c:strCache>
            </c:strRef>
          </c:tx>
          <c:spPr>
            <a:ln>
              <a:noFill/>
            </a:ln>
          </c:spPr>
          <c:marker>
            <c:symbol val="diamond"/>
            <c:size val="9"/>
            <c:spPr>
              <a:solidFill>
                <a:schemeClr val="tx1"/>
              </a:solidFill>
            </c:spPr>
          </c:marker>
          <c:trendline>
            <c:trendlineType val="linear"/>
            <c:dispRSqr val="0"/>
            <c:dispEq val="0"/>
          </c:trendline>
          <c:cat>
            <c:numRef>
              <c:f>'7. Metric trends'!$D$88:$BS$88</c:f>
              <c:numCache>
                <c:formatCode>mmm\-yy</c:formatCode>
                <c:ptCount val="6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numCache>
            </c:numRef>
          </c:cat>
          <c:val>
            <c:numRef>
              <c:f>'7. Metric trends'!$D$89:$BS$89</c:f>
              <c:numCache>
                <c:formatCode>_-* #,##0_-;\-* #,##0_-;_-* "-"??_-;_-@_-</c:formatCode>
                <c:ptCount val="68"/>
                <c:pt idx="0">
                  <c:v>549</c:v>
                </c:pt>
                <c:pt idx="1">
                  <c:v>713</c:v>
                </c:pt>
                <c:pt idx="2">
                  <c:v>606</c:v>
                </c:pt>
                <c:pt idx="3">
                  <c:v>797</c:v>
                </c:pt>
                <c:pt idx="4">
                  <c:v>579</c:v>
                </c:pt>
                <c:pt idx="5">
                  <c:v>410</c:v>
                </c:pt>
                <c:pt idx="6">
                  <c:v>719</c:v>
                </c:pt>
                <c:pt idx="7">
                  <c:v>693</c:v>
                </c:pt>
                <c:pt idx="8">
                  <c:v>831</c:v>
                </c:pt>
                <c:pt idx="9">
                  <c:v>837</c:v>
                </c:pt>
                <c:pt idx="10">
                  <c:v>576</c:v>
                </c:pt>
                <c:pt idx="11">
                  <c:v>560</c:v>
                </c:pt>
                <c:pt idx="12">
                  <c:v>587</c:v>
                </c:pt>
                <c:pt idx="13">
                  <c:v>650</c:v>
                </c:pt>
                <c:pt idx="14">
                  <c:v>489</c:v>
                </c:pt>
                <c:pt idx="15">
                  <c:v>390</c:v>
                </c:pt>
                <c:pt idx="16">
                  <c:v>406</c:v>
                </c:pt>
                <c:pt idx="17">
                  <c:v>356</c:v>
                </c:pt>
                <c:pt idx="18">
                  <c:v>527</c:v>
                </c:pt>
                <c:pt idx="19">
                  <c:v>672</c:v>
                </c:pt>
                <c:pt idx="20">
                  <c:v>523</c:v>
                </c:pt>
                <c:pt idx="21">
                  <c:v>698</c:v>
                </c:pt>
                <c:pt idx="22">
                  <c:v>802</c:v>
                </c:pt>
                <c:pt idx="23">
                  <c:v>774</c:v>
                </c:pt>
                <c:pt idx="24">
                  <c:v>978</c:v>
                </c:pt>
                <c:pt idx="25">
                  <c:v>817</c:v>
                </c:pt>
                <c:pt idx="26">
                  <c:v>896</c:v>
                </c:pt>
                <c:pt idx="27">
                  <c:v>1019</c:v>
                </c:pt>
                <c:pt idx="28">
                  <c:v>791</c:v>
                </c:pt>
                <c:pt idx="29">
                  <c:v>1015</c:v>
                </c:pt>
                <c:pt idx="30">
                  <c:v>703</c:v>
                </c:pt>
                <c:pt idx="31">
                  <c:v>750</c:v>
                </c:pt>
                <c:pt idx="32">
                  <c:v>1188</c:v>
                </c:pt>
                <c:pt idx="33">
                  <c:v>1289</c:v>
                </c:pt>
                <c:pt idx="34">
                  <c:v>1061</c:v>
                </c:pt>
                <c:pt idx="35">
                  <c:v>1280</c:v>
                </c:pt>
                <c:pt idx="36">
                  <c:v>1401</c:v>
                </c:pt>
                <c:pt idx="37">
                  <c:v>1056</c:v>
                </c:pt>
                <c:pt idx="38">
                  <c:v>1092</c:v>
                </c:pt>
                <c:pt idx="39">
                  <c:v>1034</c:v>
                </c:pt>
                <c:pt idx="40">
                  <c:v>871</c:v>
                </c:pt>
                <c:pt idx="41">
                  <c:v>1480</c:v>
                </c:pt>
                <c:pt idx="42">
                  <c:v>997</c:v>
                </c:pt>
                <c:pt idx="43">
                  <c:v>977</c:v>
                </c:pt>
                <c:pt idx="44">
                  <c:v>1149.0570824524314</c:v>
                </c:pt>
                <c:pt idx="45">
                  <c:v>1164.329316420014</c:v>
                </c:pt>
                <c:pt idx="46">
                  <c:v>1179.6015503875969</c:v>
                </c:pt>
                <c:pt idx="47">
                  <c:v>1194.8737843551796</c:v>
                </c:pt>
                <c:pt idx="48">
                  <c:v>1210.1460183227625</c:v>
                </c:pt>
                <c:pt idx="49">
                  <c:v>1225.4182522903452</c:v>
                </c:pt>
                <c:pt idx="50">
                  <c:v>1240.6904862579281</c:v>
                </c:pt>
                <c:pt idx="51">
                  <c:v>1255.9627202255108</c:v>
                </c:pt>
                <c:pt idx="52">
                  <c:v>1271.2349541930937</c:v>
                </c:pt>
                <c:pt idx="53">
                  <c:v>1286.5071881606766</c:v>
                </c:pt>
                <c:pt idx="54">
                  <c:v>1301.7794221282593</c:v>
                </c:pt>
                <c:pt idx="55">
                  <c:v>1317.0516560958422</c:v>
                </c:pt>
                <c:pt idx="56">
                  <c:v>1332.3238900634249</c:v>
                </c:pt>
                <c:pt idx="57">
                  <c:v>1347.5961240310078</c:v>
                </c:pt>
                <c:pt idx="58">
                  <c:v>1362.8683579985905</c:v>
                </c:pt>
                <c:pt idx="59">
                  <c:v>1378.1405919661734</c:v>
                </c:pt>
                <c:pt idx="60">
                  <c:v>1393.4128259337563</c:v>
                </c:pt>
                <c:pt idx="61">
                  <c:v>1408.6850599013389</c:v>
                </c:pt>
                <c:pt idx="62">
                  <c:v>1423.9572938689219</c:v>
                </c:pt>
                <c:pt idx="63">
                  <c:v>1439.2295278365045</c:v>
                </c:pt>
                <c:pt idx="64">
                  <c:v>1454.5017618040874</c:v>
                </c:pt>
                <c:pt idx="65">
                  <c:v>1469.7739957716701</c:v>
                </c:pt>
                <c:pt idx="66">
                  <c:v>1485.046229739253</c:v>
                </c:pt>
                <c:pt idx="67">
                  <c:v>1500.3184637068357</c:v>
                </c:pt>
              </c:numCache>
            </c:numRef>
          </c:val>
          <c:smooth val="0"/>
        </c:ser>
        <c:ser>
          <c:idx val="1"/>
          <c:order val="1"/>
          <c:tx>
            <c:strRef>
              <c:f>'7. Metric trends'!$C$90</c:f>
              <c:strCache>
                <c:ptCount val="1"/>
                <c:pt idx="0">
                  <c:v>Planned (from ''HWB Supporting Metrics' tab)</c:v>
                </c:pt>
              </c:strCache>
            </c:strRef>
          </c:tx>
          <c:spPr>
            <a:ln w="28575">
              <a:noFill/>
            </a:ln>
          </c:spPr>
          <c:marker>
            <c:symbol val="x"/>
            <c:size val="7"/>
            <c:spPr>
              <a:ln>
                <a:solidFill>
                  <a:schemeClr val="tx1"/>
                </a:solidFill>
              </a:ln>
            </c:spPr>
          </c:marker>
          <c:val>
            <c:numRef>
              <c:f>'7. Metric trends'!$D$90:$BS$90</c:f>
              <c:numCache>
                <c:formatCode>_-* #,##0_-;\-* #,##0_-;_-* "-"??_-;_-@_-</c:formatCode>
                <c:ptCount val="68"/>
                <c:pt idx="0">
                  <c:v>549</c:v>
                </c:pt>
                <c:pt idx="1">
                  <c:v>713</c:v>
                </c:pt>
                <c:pt idx="2">
                  <c:v>606</c:v>
                </c:pt>
                <c:pt idx="3">
                  <c:v>797</c:v>
                </c:pt>
                <c:pt idx="4">
                  <c:v>579</c:v>
                </c:pt>
                <c:pt idx="5">
                  <c:v>410</c:v>
                </c:pt>
                <c:pt idx="6">
                  <c:v>719</c:v>
                </c:pt>
                <c:pt idx="7">
                  <c:v>693</c:v>
                </c:pt>
                <c:pt idx="8">
                  <c:v>831</c:v>
                </c:pt>
                <c:pt idx="9">
                  <c:v>837</c:v>
                </c:pt>
                <c:pt idx="10">
                  <c:v>576</c:v>
                </c:pt>
                <c:pt idx="11">
                  <c:v>560</c:v>
                </c:pt>
                <c:pt idx="12">
                  <c:v>587</c:v>
                </c:pt>
                <c:pt idx="13">
                  <c:v>650</c:v>
                </c:pt>
                <c:pt idx="14">
                  <c:v>489</c:v>
                </c:pt>
                <c:pt idx="15">
                  <c:v>390</c:v>
                </c:pt>
                <c:pt idx="16">
                  <c:v>406</c:v>
                </c:pt>
                <c:pt idx="17">
                  <c:v>356</c:v>
                </c:pt>
                <c:pt idx="18">
                  <c:v>527</c:v>
                </c:pt>
                <c:pt idx="19">
                  <c:v>672</c:v>
                </c:pt>
                <c:pt idx="20">
                  <c:v>523</c:v>
                </c:pt>
                <c:pt idx="21">
                  <c:v>698</c:v>
                </c:pt>
                <c:pt idx="22">
                  <c:v>802</c:v>
                </c:pt>
                <c:pt idx="23">
                  <c:v>774</c:v>
                </c:pt>
                <c:pt idx="24">
                  <c:v>978</c:v>
                </c:pt>
                <c:pt idx="25">
                  <c:v>817</c:v>
                </c:pt>
                <c:pt idx="26">
                  <c:v>896</c:v>
                </c:pt>
                <c:pt idx="27">
                  <c:v>1019</c:v>
                </c:pt>
                <c:pt idx="28">
                  <c:v>791</c:v>
                </c:pt>
                <c:pt idx="29">
                  <c:v>1015</c:v>
                </c:pt>
                <c:pt idx="30">
                  <c:v>703</c:v>
                </c:pt>
                <c:pt idx="31">
                  <c:v>750</c:v>
                </c:pt>
                <c:pt idx="32">
                  <c:v>1188</c:v>
                </c:pt>
                <c:pt idx="33">
                  <c:v>1289</c:v>
                </c:pt>
                <c:pt idx="34">
                  <c:v>1061</c:v>
                </c:pt>
                <c:pt idx="35">
                  <c:v>1280</c:v>
                </c:pt>
                <c:pt idx="36">
                  <c:v>1401</c:v>
                </c:pt>
                <c:pt idx="37">
                  <c:v>1056</c:v>
                </c:pt>
                <c:pt idx="38">
                  <c:v>1092</c:v>
                </c:pt>
                <c:pt idx="39">
                  <c:v>1034</c:v>
                </c:pt>
                <c:pt idx="40">
                  <c:v>871</c:v>
                </c:pt>
                <c:pt idx="41">
                  <c:v>1480</c:v>
                </c:pt>
                <c:pt idx="42">
                  <c:v>997</c:v>
                </c:pt>
                <c:pt idx="43">
                  <c:v>977</c:v>
                </c:pt>
                <c:pt idx="44" formatCode="General">
                  <c:v>1034</c:v>
                </c:pt>
                <c:pt idx="45" formatCode="General">
                  <c:v>1034</c:v>
                </c:pt>
                <c:pt idx="46" formatCode="General">
                  <c:v>1034</c:v>
                </c:pt>
                <c:pt idx="47" formatCode="General">
                  <c:v>1165.2600903395016</c:v>
                </c:pt>
                <c:pt idx="48" formatCode="General">
                  <c:v>1165.2600903395016</c:v>
                </c:pt>
                <c:pt idx="49" formatCode="General">
                  <c:v>1165.2600903395016</c:v>
                </c:pt>
                <c:pt idx="50" formatCode="General">
                  <c:v>934.51551799504603</c:v>
                </c:pt>
                <c:pt idx="51" formatCode="General">
                  <c:v>934.51551799504603</c:v>
                </c:pt>
                <c:pt idx="52" formatCode="General">
                  <c:v>934.51551799504603</c:v>
                </c:pt>
                <c:pt idx="53" formatCode="General">
                  <c:v>1077.0158822672302</c:v>
                </c:pt>
                <c:pt idx="54" formatCode="General">
                  <c:v>1077.0158822672302</c:v>
                </c:pt>
                <c:pt idx="55" formatCode="General">
                  <c:v>1077.0158822672302</c:v>
                </c:pt>
                <c:pt idx="56" formatCode="General">
                  <c:v>1003.3333333333334</c:v>
                </c:pt>
                <c:pt idx="57" formatCode="General">
                  <c:v>1003.3333333333334</c:v>
                </c:pt>
                <c:pt idx="58" formatCode="General">
                  <c:v>1003.3333333333334</c:v>
                </c:pt>
                <c:pt idx="59" formatCode="General">
                  <c:v>1129.8666763805916</c:v>
                </c:pt>
                <c:pt idx="60" formatCode="General">
                  <c:v>1129.8666763805916</c:v>
                </c:pt>
                <c:pt idx="61" formatCode="General">
                  <c:v>1129.8666763805916</c:v>
                </c:pt>
                <c:pt idx="62" formatCode="General">
                  <c:v>906.13070085968241</c:v>
                </c:pt>
                <c:pt idx="63" formatCode="General">
                  <c:v>906.13070085968241</c:v>
                </c:pt>
                <c:pt idx="64" formatCode="General">
                  <c:v>906.13070085968241</c:v>
                </c:pt>
                <c:pt idx="65" formatCode="General">
                  <c:v>1044.3027830394872</c:v>
                </c:pt>
                <c:pt idx="66" formatCode="General">
                  <c:v>1044.3027830394872</c:v>
                </c:pt>
                <c:pt idx="67" formatCode="General">
                  <c:v>1044.3027830394872</c:v>
                </c:pt>
              </c:numCache>
            </c:numRef>
          </c:val>
          <c:smooth val="0"/>
        </c:ser>
        <c:dLbls>
          <c:showLegendKey val="0"/>
          <c:showVal val="0"/>
          <c:showCatName val="0"/>
          <c:showSerName val="0"/>
          <c:showPercent val="0"/>
          <c:showBubbleSize val="0"/>
        </c:dLbls>
        <c:marker val="1"/>
        <c:smooth val="0"/>
        <c:axId val="184439552"/>
        <c:axId val="184441472"/>
      </c:lineChart>
      <c:dateAx>
        <c:axId val="184439552"/>
        <c:scaling>
          <c:orientation val="minMax"/>
        </c:scaling>
        <c:delete val="0"/>
        <c:axPos val="b"/>
        <c:majorGridlines>
          <c:spPr>
            <a:ln>
              <a:solidFill>
                <a:schemeClr val="bg1">
                  <a:lumMod val="75000"/>
                </a:schemeClr>
              </a:solidFill>
            </a:ln>
          </c:spPr>
        </c:majorGridlines>
        <c:numFmt formatCode="mmm\-yy" sourceLinked="1"/>
        <c:majorTickMark val="out"/>
        <c:minorTickMark val="none"/>
        <c:tickLblPos val="nextTo"/>
        <c:crossAx val="184441472"/>
        <c:crosses val="autoZero"/>
        <c:auto val="1"/>
        <c:lblOffset val="100"/>
        <c:baseTimeUnit val="months"/>
      </c:dateAx>
      <c:valAx>
        <c:axId val="18444147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US" b="0"/>
                  <a:t>Count</a:t>
                </a:r>
              </a:p>
            </c:rich>
          </c:tx>
          <c:layout>
            <c:manualLayout>
              <c:xMode val="edge"/>
              <c:yMode val="edge"/>
              <c:x val="2.858163308249762E-3"/>
              <c:y val="0.35390544087394488"/>
            </c:manualLayout>
          </c:layout>
          <c:overlay val="0"/>
        </c:title>
        <c:numFmt formatCode="_-* #,##0_-;\-* #,##0_-;_-* &quot;-&quot;??_-;_-@_-" sourceLinked="1"/>
        <c:majorTickMark val="out"/>
        <c:minorTickMark val="none"/>
        <c:tickLblPos val="nextTo"/>
        <c:crossAx val="184439552"/>
        <c:crosses val="autoZero"/>
        <c:crossBetween val="between"/>
      </c:valAx>
      <c:spPr>
        <a:solidFill>
          <a:schemeClr val="bg1">
            <a:lumMod val="85000"/>
          </a:schemeClr>
        </a:solidFill>
      </c:spPr>
    </c:plotArea>
    <c:legend>
      <c:legendPos val="r"/>
      <c:layout>
        <c:manualLayout>
          <c:xMode val="edge"/>
          <c:yMode val="edge"/>
          <c:x val="0.89831537305588827"/>
          <c:y val="0.22849716366099398"/>
          <c:w val="9.7225317745531281E-2"/>
          <c:h val="0.49999458132249597"/>
        </c:manualLayout>
      </c:layout>
      <c:overlay val="0"/>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44878224808362E-2"/>
          <c:y val="6.7905319174552725E-2"/>
          <c:w val="0.74698325574266733"/>
          <c:h val="0.6989033766277607"/>
        </c:manualLayout>
      </c:layout>
      <c:lineChart>
        <c:grouping val="standard"/>
        <c:varyColors val="0"/>
        <c:ser>
          <c:idx val="0"/>
          <c:order val="0"/>
          <c:tx>
            <c:strRef>
              <c:f>'7. Metric trends'!$C$11</c:f>
              <c:strCache>
                <c:ptCount val="1"/>
                <c:pt idx="0">
                  <c:v>No. of admissions - historic and projected</c:v>
                </c:pt>
              </c:strCache>
            </c:strRef>
          </c:tx>
          <c:spPr>
            <a:ln>
              <a:noFill/>
            </a:ln>
          </c:spPr>
          <c:marker>
            <c:symbol val="diamond"/>
            <c:size val="9"/>
            <c:spPr>
              <a:solidFill>
                <a:schemeClr val="tx1"/>
              </a:solidFill>
            </c:spPr>
          </c:marker>
          <c:trendline>
            <c:trendlineType val="linear"/>
            <c:dispRSqr val="0"/>
            <c:dispEq val="0"/>
          </c:trendline>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trends'!$D$11:$O$11</c:f>
              <c:numCache>
                <c:formatCode>_-* #,##0_-;\-* #,##0_-;_-* "-"??_-;_-@_-</c:formatCode>
                <c:ptCount val="12"/>
                <c:pt idx="0">
                  <c:v>7194.4805765276096</c:v>
                </c:pt>
                <c:pt idx="1">
                  <c:v>7126.1886834141123</c:v>
                </c:pt>
                <c:pt idx="2">
                  <c:v>7557.3276109746712</c:v>
                </c:pt>
                <c:pt idx="3">
                  <c:v>8276.4607079068955</c:v>
                </c:pt>
                <c:pt idx="4">
                  <c:v>6629.3461144412522</c:v>
                </c:pt>
                <c:pt idx="5">
                  <c:v>7050.3076498427881</c:v>
                </c:pt>
                <c:pt idx="6">
                  <c:v>6975.9316246623948</c:v>
                </c:pt>
                <c:pt idx="7">
                  <c:v>7010.6646497854308</c:v>
                </c:pt>
                <c:pt idx="8">
                  <c:v>6948.686420525727</c:v>
                </c:pt>
                <c:pt idx="9">
                  <c:v>6886.7081912660233</c:v>
                </c:pt>
                <c:pt idx="10">
                  <c:v>6824.7299620063186</c:v>
                </c:pt>
                <c:pt idx="11">
                  <c:v>6762.7517327466148</c:v>
                </c:pt>
              </c:numCache>
            </c:numRef>
          </c:val>
          <c:smooth val="0"/>
        </c:ser>
        <c:ser>
          <c:idx val="1"/>
          <c:order val="1"/>
          <c:tx>
            <c:strRef>
              <c:f>'7. Metric trends'!$C$12</c:f>
              <c:strCache>
                <c:ptCount val="1"/>
                <c:pt idx="0">
                  <c:v>Planned (from 'HWB P4P metric' tab)</c:v>
                </c:pt>
              </c:strCache>
            </c:strRef>
          </c:tx>
          <c:spPr>
            <a:ln w="28575">
              <a:noFill/>
            </a:ln>
          </c:spPr>
          <c:marker>
            <c:symbol val="x"/>
            <c:size val="5"/>
            <c:spPr>
              <a:noFill/>
              <a:ln>
                <a:solidFill>
                  <a:schemeClr val="tx1"/>
                </a:solidFill>
              </a:ln>
            </c:spPr>
          </c:marker>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trends'!$D$12:$O$12</c:f>
              <c:numCache>
                <c:formatCode>_-* #,##0_-;\-* #,##0_-;_-* "-"??_-;_-@_-</c:formatCode>
                <c:ptCount val="12"/>
                <c:pt idx="0">
                  <c:v>7194.4805765276096</c:v>
                </c:pt>
                <c:pt idx="1">
                  <c:v>7126.1886834141123</c:v>
                </c:pt>
                <c:pt idx="2">
                  <c:v>7557.3276109746712</c:v>
                </c:pt>
                <c:pt idx="3">
                  <c:v>8276.4607079068955</c:v>
                </c:pt>
                <c:pt idx="4">
                  <c:v>6629.3461144412522</c:v>
                </c:pt>
                <c:pt idx="5">
                  <c:v>7050.3076498427881</c:v>
                </c:pt>
                <c:pt idx="6">
                  <c:v>6975.9316246623948</c:v>
                </c:pt>
                <c:pt idx="7">
                  <c:v>7986</c:v>
                </c:pt>
                <c:pt idx="8">
                  <c:v>6397</c:v>
                </c:pt>
                <c:pt idx="9">
                  <c:v>6803</c:v>
                </c:pt>
                <c:pt idx="10">
                  <c:v>6732</c:v>
                </c:pt>
                <c:pt idx="11">
                  <c:v>7706</c:v>
                </c:pt>
              </c:numCache>
            </c:numRef>
          </c:val>
          <c:smooth val="0"/>
        </c:ser>
        <c:dLbls>
          <c:showLegendKey val="0"/>
          <c:showVal val="0"/>
          <c:showCatName val="0"/>
          <c:showSerName val="0"/>
          <c:showPercent val="0"/>
          <c:showBubbleSize val="0"/>
        </c:dLbls>
        <c:marker val="1"/>
        <c:smooth val="0"/>
        <c:axId val="184549376"/>
        <c:axId val="184551296"/>
      </c:lineChart>
      <c:catAx>
        <c:axId val="184549376"/>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184551296"/>
        <c:crosses val="autoZero"/>
        <c:auto val="1"/>
        <c:lblAlgn val="ctr"/>
        <c:lblOffset val="100"/>
        <c:noMultiLvlLbl val="0"/>
      </c:catAx>
      <c:valAx>
        <c:axId val="184551296"/>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No.</a:t>
                </a:r>
                <a:r>
                  <a:rPr lang="en-GB" b="0" baseline="0"/>
                  <a:t> of non-elective admissions</a:t>
                </a:r>
                <a:endParaRPr lang="en-GB" b="0"/>
              </a:p>
            </c:rich>
          </c:tx>
          <c:layout>
            <c:manualLayout>
              <c:xMode val="edge"/>
              <c:yMode val="edge"/>
              <c:x val="3.6496350364963502E-3"/>
              <c:y val="0.11441341536488003"/>
            </c:manualLayout>
          </c:layout>
          <c:overlay val="0"/>
        </c:title>
        <c:numFmt formatCode="_-* #,##0_-;\-* #,##0_-;_-* &quot;-&quot;??_-;_-@_-" sourceLinked="1"/>
        <c:majorTickMark val="out"/>
        <c:minorTickMark val="none"/>
        <c:tickLblPos val="nextTo"/>
        <c:crossAx val="184549376"/>
        <c:crosses val="autoZero"/>
        <c:crossBetween val="between"/>
      </c:valAx>
      <c:spPr>
        <a:solidFill>
          <a:schemeClr val="bg1">
            <a:lumMod val="85000"/>
          </a:schemeClr>
        </a:solidFill>
      </c:spPr>
    </c:plotArea>
    <c:legend>
      <c:legendPos val="r"/>
      <c:layout>
        <c:manualLayout>
          <c:xMode val="edge"/>
          <c:yMode val="edge"/>
          <c:x val="0.83529838879629092"/>
          <c:y val="0.25509380459275388"/>
          <c:w val="0.14888652604555819"/>
          <c:h val="0.35262053658083736"/>
        </c:manualLayout>
      </c:layout>
      <c:overlay val="1"/>
    </c:legend>
    <c:plotVisOnly val="1"/>
    <c:dispBlanksAs val="gap"/>
    <c:showDLblsOverMax val="0"/>
  </c:chart>
  <c:spPr>
    <a:solidFill>
      <a:schemeClr val="bg1">
        <a:lumMod val="85000"/>
      </a:schemeClr>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List" dx="15" fmlaLink="#REF!" fmlaRange="#REF!" noThreeD="1" sel="0"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209547</xdr:colOff>
      <xdr:row>0</xdr:row>
      <xdr:rowOff>152395</xdr:rowOff>
    </xdr:from>
    <xdr:to>
      <xdr:col>16</xdr:col>
      <xdr:colOff>219074</xdr:colOff>
      <xdr:row>176</xdr:row>
      <xdr:rowOff>66675</xdr:rowOff>
    </xdr:to>
    <xdr:sp macro="" textlink="">
      <xdr:nvSpPr>
        <xdr:cNvPr id="2" name="TextBox 1"/>
        <xdr:cNvSpPr txBox="1"/>
      </xdr:nvSpPr>
      <xdr:spPr>
        <a:xfrm>
          <a:off x="209547" y="152395"/>
          <a:ext cx="9763127" cy="31765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effectLst/>
              <a:latin typeface="Arial"/>
              <a:ea typeface="Calibri"/>
              <a:cs typeface="Times New Roman"/>
            </a:rPr>
            <a:t>BCF financial and metric HWB template</a:t>
          </a:r>
          <a:endParaRPr lang="en-GB" sz="12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r>
            <a:rPr lang="en-GB" sz="1100" b="1">
              <a:effectLst/>
              <a:latin typeface="Arial"/>
              <a:ea typeface="Calibri"/>
              <a:cs typeface="Times New Roman"/>
            </a:rPr>
            <a:t>Overview</a:t>
          </a:r>
          <a:endParaRPr lang="en-GB" sz="105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purpose of this template is to clarify data from earlier BCF plan submissions and to collect further information from CCGs and HWBs in order to ensure that the assurance process ahead of any BCF plans being recommended for sign-off is as rigorous as possible. This includes providing a more detailed breakdown of planned investments and savings, clarification of the impact of the BCF and agreement on the consequential impact on the acute sector. </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endParaRPr lang="en-GB" sz="1400">
            <a:effectLst/>
            <a:latin typeface="+mn-lt"/>
            <a:ea typeface="Calibri"/>
            <a:cs typeface="Times New Roman"/>
          </a:endParaRPr>
        </a:p>
        <a:p>
          <a:pPr>
            <a:spcAft>
              <a:spcPts val="0"/>
            </a:spcAft>
          </a:pPr>
          <a:r>
            <a:rPr lang="en-GB" sz="1100">
              <a:effectLst/>
              <a:latin typeface="Arial"/>
              <a:ea typeface="Calibri"/>
              <a:cs typeface="Times New Roman"/>
            </a:rPr>
            <a:t>Throughout the template, cells which are open for input have a white background and cells which contain description, calculations or auto-fills have a grey background.</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details of each tab within the template are outlined below.</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p>
        <a:p>
          <a:pPr>
            <a:spcAft>
              <a:spcPts val="0"/>
            </a:spcAft>
          </a:pPr>
          <a:r>
            <a:rPr lang="en-GB" sz="1100" b="1">
              <a:solidFill>
                <a:schemeClr val="dk1"/>
              </a:solidFill>
              <a:effectLst/>
              <a:latin typeface="Arial"/>
              <a:ea typeface="Calibri"/>
              <a:cs typeface="Times New Roman"/>
            </a:rPr>
            <a:t>Authorisation</a:t>
          </a:r>
        </a:p>
        <a:p>
          <a:pPr>
            <a:spcAft>
              <a:spcPts val="0"/>
            </a:spcAft>
          </a:pPr>
          <a:endParaRPr lang="en-GB" sz="1100">
            <a:effectLst/>
            <a:latin typeface="+mn-lt"/>
            <a:ea typeface="Calibri"/>
            <a:cs typeface="Times New Roman"/>
          </a:endParaRPr>
        </a:p>
        <a:p>
          <a:pPr>
            <a:spcAft>
              <a:spcPts val="0"/>
            </a:spcAft>
          </a:pPr>
          <a:r>
            <a:rPr lang="en-GB" sz="1100">
              <a:effectLst/>
              <a:latin typeface="Arial" panose="020B0604020202020204" pitchFamily="34" charset="0"/>
              <a:ea typeface="Calibri"/>
              <a:cs typeface="Arial" panose="020B0604020202020204" pitchFamily="34" charset="0"/>
            </a:rPr>
            <a:t>Please</a:t>
          </a:r>
          <a:r>
            <a:rPr lang="en-GB" sz="1100" baseline="0">
              <a:effectLst/>
              <a:latin typeface="Arial" panose="020B0604020202020204" pitchFamily="34" charset="0"/>
              <a:ea typeface="Calibri"/>
              <a:cs typeface="Arial" panose="020B0604020202020204" pitchFamily="34" charset="0"/>
            </a:rPr>
            <a:t> select the HWB this plan relates to on this worksheet. This will populate subsequent worksheets in the return.</a:t>
          </a:r>
        </a:p>
        <a:p>
          <a:pPr>
            <a:spcAft>
              <a:spcPts val="0"/>
            </a:spcAft>
          </a:pPr>
          <a:r>
            <a:rPr lang="en-GB" sz="1100" baseline="0">
              <a:effectLst/>
              <a:latin typeface="Arial" panose="020B0604020202020204" pitchFamily="34" charset="0"/>
              <a:ea typeface="Calibri"/>
              <a:cs typeface="Arial" panose="020B0604020202020204" pitchFamily="34" charset="0"/>
            </a:rPr>
            <a:t>Once the template has been completed please arrange for the plan to be authorised by accountable officers from the HWB, Local Authority and CCG.</a:t>
          </a:r>
        </a:p>
        <a:p>
          <a:pPr>
            <a:spcAft>
              <a:spcPts val="0"/>
            </a:spcAft>
          </a:pPr>
          <a:endParaRPr lang="en-GB" sz="1100" baseline="0">
            <a:effectLst/>
            <a:latin typeface="Arial" panose="020B0604020202020204" pitchFamily="34" charset="0"/>
            <a:ea typeface="Calibri"/>
            <a:cs typeface="Arial" panose="020B0604020202020204" pitchFamily="34" charset="0"/>
          </a:endParaRPr>
        </a:p>
        <a:p>
          <a:pPr>
            <a:spcAft>
              <a:spcPts val="0"/>
            </a:spcAft>
          </a:pPr>
          <a:r>
            <a:rPr lang="en-GB" sz="1100" b="1" baseline="0">
              <a:effectLst/>
              <a:latin typeface="Arial" panose="020B0604020202020204" pitchFamily="34" charset="0"/>
              <a:ea typeface="Calibri"/>
              <a:cs typeface="Arial" panose="020B0604020202020204" pitchFamily="34" charset="0"/>
            </a:rPr>
            <a:t>Payment for Performance</a:t>
          </a:r>
        </a:p>
        <a:p>
          <a:pPr>
            <a:spcAft>
              <a:spcPts val="0"/>
            </a:spcAft>
          </a:pPr>
          <a:endParaRPr lang="en-GB" sz="1100" b="1" baseline="0">
            <a:effectLst/>
            <a:latin typeface="Arial" panose="020B0604020202020204" pitchFamily="34" charset="0"/>
            <a:ea typeface="Calibri"/>
            <a:cs typeface="Arial" panose="020B0604020202020204" pitchFamily="34" charset="0"/>
          </a:endParaRPr>
        </a:p>
        <a:p>
          <a:pPr>
            <a:spcAft>
              <a:spcPts val="0"/>
            </a:spcAft>
          </a:pPr>
          <a:r>
            <a:rPr lang="en-GB" sz="1100" b="0" baseline="0">
              <a:effectLst/>
              <a:latin typeface="Arial" panose="020B0604020202020204" pitchFamily="34" charset="0"/>
              <a:ea typeface="Calibri"/>
              <a:cs typeface="Arial" panose="020B0604020202020204" pitchFamily="34" charset="0"/>
            </a:rPr>
            <a:t>This sheet is entirely pre-populated and contains two sections:</a:t>
          </a:r>
        </a:p>
        <a:p>
          <a:pPr>
            <a:spcAft>
              <a:spcPts val="0"/>
            </a:spcAft>
          </a:pPr>
          <a:r>
            <a:rPr lang="en-GB" sz="1100" b="0" baseline="0">
              <a:effectLst/>
              <a:latin typeface="Arial" panose="020B0604020202020204" pitchFamily="34" charset="0"/>
              <a:ea typeface="Calibri"/>
              <a:cs typeface="Arial" panose="020B0604020202020204" pitchFamily="34" charset="0"/>
            </a:rPr>
            <a:t>a) Change in non elective activity: This information feeds from 5.HWB P4P metric sheet and is assessing the level of change in non elective admissions between 2015 and the planned baseline submitted for 2014. Reductions greater than 3.5% will be RAG rated green; increases will be RAG rated red and values in between will be RAG rated amber.</a:t>
          </a:r>
        </a:p>
        <a:p>
          <a:pPr>
            <a:spcAft>
              <a:spcPts val="0"/>
            </a:spcAft>
          </a:pPr>
          <a:r>
            <a:rPr lang="en-GB" sz="1100" b="0" baseline="0">
              <a:effectLst/>
              <a:latin typeface="Arial" panose="020B0604020202020204" pitchFamily="34" charset="0"/>
              <a:ea typeface="Calibri"/>
              <a:cs typeface="Arial" panose="020B0604020202020204" pitchFamily="34" charset="0"/>
            </a:rPr>
            <a:t>b) Calculation of Performance and NHS Commissioned Out of Hospital Ringfenced Pots. This brings in the value of non elective savings anticipated (from 5. HWB P4P metric sheet) and compares that with the funding subject to payment for performance measures  the Health and Wellbeing Board received. The difference needs to be ringfenced for NHS commissioned out of hospital services as shown in cell B23. Cell B25 examines the HWB expeniture plan and compares the amout comissioned by the NHS for non acute services which will be funded from the minimum CCG contribution to the Health and Wellbeing Board. Where there is a shortfall in the contribution to NHS commissioned services cell B27 will be highlighted red.</a:t>
          </a:r>
          <a:endParaRPr lang="en-GB" sz="1100" b="0">
            <a:effectLst/>
            <a:latin typeface="Arial" panose="020B0604020202020204" pitchFamily="34" charset="0"/>
            <a:ea typeface="Calibri"/>
            <a:cs typeface="Arial" panose="020B0604020202020204" pitchFamily="34" charset="0"/>
          </a:endParaRPr>
        </a:p>
        <a:p>
          <a:pPr>
            <a:spcAft>
              <a:spcPts val="0"/>
            </a:spcAft>
          </a:pP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1. HWB Funding Sources</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sheet will be pre-populated with the</a:t>
          </a:r>
          <a:r>
            <a:rPr lang="en-GB" sz="1100" baseline="0">
              <a:effectLst/>
              <a:latin typeface="Arial"/>
              <a:ea typeface="Calibri"/>
              <a:cs typeface="Times New Roman"/>
            </a:rPr>
            <a:t> minimum CCG contributions to the Fund in 2015/16. </a:t>
          </a:r>
        </a:p>
        <a:p>
          <a:pPr>
            <a:spcAft>
              <a:spcPts val="0"/>
            </a:spcAft>
          </a:pPr>
          <a:r>
            <a:rPr lang="en-GB" sz="1100" baseline="0">
              <a:effectLst/>
              <a:latin typeface="Arial"/>
              <a:ea typeface="Calibri"/>
              <a:cs typeface="Times New Roman"/>
            </a:rPr>
            <a:t>Please enter additional contributions to the Fund by selecting a Local or Authority or CCG from the drop down boxes in column A and enter the values of the contributions in columns B and C.</a:t>
          </a:r>
          <a:endParaRPr lang="en-GB" sz="1100">
            <a:effectLst/>
            <a:latin typeface="+mn-lt"/>
            <a:ea typeface="Calibri"/>
            <a:cs typeface="Times New Roman"/>
          </a:endParaRPr>
        </a:p>
        <a:p>
          <a:pPr marL="270510">
            <a:spcAft>
              <a:spcPts val="0"/>
            </a:spcAft>
          </a:pPr>
          <a:r>
            <a:rPr lang="en-GB" sz="1100">
              <a:effectLst/>
              <a:latin typeface="+mn-lt"/>
              <a:ea typeface="Calibri"/>
              <a:cs typeface="Times New Roman"/>
            </a:rPr>
            <a:t> </a:t>
          </a:r>
        </a:p>
        <a:p>
          <a:pPr>
            <a:spcAft>
              <a:spcPts val="0"/>
            </a:spcAft>
          </a:pPr>
          <a:r>
            <a:rPr lang="en-GB" sz="1100" b="1">
              <a:effectLst/>
              <a:latin typeface="Arial"/>
              <a:ea typeface="Calibri"/>
              <a:cs typeface="Times New Roman"/>
            </a:rPr>
            <a:t>2. Scheme Summary</a:t>
          </a:r>
          <a:endParaRPr lang="en-GB" sz="1050">
            <a:effectLst/>
            <a:latin typeface="+mn-lt"/>
            <a:ea typeface="Calibri"/>
            <a:cs typeface="Times New Roman"/>
          </a:endParaRPr>
        </a:p>
        <a:p>
          <a:pPr marL="270510">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aseline="0">
              <a:effectLst/>
              <a:latin typeface="Arial"/>
              <a:ea typeface="Calibri"/>
              <a:cs typeface="Times New Roman"/>
            </a:rPr>
            <a:t>This sheet provides two summaries: one showing the area of spend for HWB funds, the other outlining how the benefits will be achieved. The latter compares information entered into the '4. HWB Benefits Plan' sheet with the information entered into '5. HWB P4P metric' and '6. HWB Supporting Metrics' worksheets. If there is a difference between these figures please indicate the reason why in the white cells on this worksheet.</a:t>
          </a:r>
        </a:p>
        <a:p>
          <a:pPr>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1">
              <a:effectLst/>
              <a:latin typeface="Arial"/>
              <a:ea typeface="Calibri"/>
              <a:cs typeface="Times New Roman"/>
            </a:rPr>
            <a:t>3. HWB Expenditure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breaks down the planned BCF spending by scheme and provider.  </a:t>
          </a:r>
          <a:r>
            <a:rPr lang="en-GB" sz="1100" b="1">
              <a:effectLst/>
              <a:latin typeface="Arial"/>
              <a:ea typeface="Calibri"/>
              <a:cs typeface="Times New Roman"/>
            </a:rPr>
            <a:t>Note that you may need to fill out several lines to fully describe a single scheme.</a:t>
          </a:r>
          <a:endParaRPr lang="en-GB" sz="1050" b="1">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it:</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Enter a scheme name in column A;</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area of spending the scheme is directed at using the drop-down box in column B</a:t>
          </a:r>
          <a:r>
            <a:rPr lang="en-GB" sz="1100" baseline="0">
              <a:effectLst/>
              <a:latin typeface="Arial"/>
              <a:ea typeface="Calibri"/>
              <a:cs typeface="Times New Roman"/>
            </a:rPr>
            <a:t>; if the area of spending is not adequately described by one of the drop down options please choose 'Other' and give further explanation in column E.</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commissioner and provider for the scheme using the drop-down boxes in columns F and G, </a:t>
          </a:r>
          <a:r>
            <a:rPr lang="en-GB" sz="1100" b="1">
              <a:effectLst/>
              <a:latin typeface="Arial"/>
              <a:ea typeface="Calibri"/>
              <a:cs typeface="Times New Roman"/>
            </a:rPr>
            <a:t>noting that  if a scheme has more than one provider or commissioner, you should complete one row for each</a:t>
          </a:r>
          <a:r>
            <a:rPr lang="en-GB" sz="1100">
              <a:effectLst/>
              <a:latin typeface="Arial"/>
              <a:ea typeface="Calibri"/>
              <a:cs typeface="Times New Roman"/>
            </a:rPr>
            <a:t>.  E.g. if both the CCG and the local authority will contract with a third party to provide a joint service, there would be two lines for the scheme: one for the CCG commissioning from the third party and one for the local authority commissioning from the third party;</a:t>
          </a:r>
        </a:p>
        <a:p>
          <a:pPr marL="342900" lvl="0" indent="-342900">
            <a:spcAft>
              <a:spcPts val="0"/>
            </a:spcAft>
            <a:buFont typeface="Symbol"/>
            <a:buChar char=""/>
          </a:pPr>
          <a:r>
            <a:rPr lang="en-GB" sz="1100">
              <a:effectLst/>
              <a:latin typeface="Arial"/>
              <a:ea typeface="Calibri"/>
              <a:cs typeface="Times New Roman"/>
            </a:rPr>
            <a:t>In Column H state where the expenditure</a:t>
          </a:r>
          <a:r>
            <a:rPr lang="en-GB" sz="1100" baseline="0">
              <a:effectLst/>
              <a:latin typeface="Arial"/>
              <a:ea typeface="Calibri"/>
              <a:cs typeface="Times New Roman"/>
            </a:rPr>
            <a:t> is being funded from. If this falls across multiple funding streams please enter the scheme across multiple lines.</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Complete the cells in columns I and J to give the planned spending on the scheme in 2014/15 and 2015/16;</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Repeat for other elements of the scheme if required, then repeat for other schemes.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information is important to establish the impact of the Better Care Fund on NHS and local government spending nationally in 2014/15 and 2015/16 to inform broader planning work.</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4. HWB Benefits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is designed to give a more detailed view of the benefits planned from the Better Care Fund: in particular, to describe how they are distributed across the local health and care economy and to explain how they have been calculated.  We are asking for this information in order to help us to understand the impact of the BCF on the financial challenges facing both health and social care in 2015/16.</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Please note</a:t>
          </a:r>
          <a:r>
            <a:rPr lang="en-GB" sz="1100" baseline="0">
              <a:effectLst/>
              <a:latin typeface="Arial"/>
              <a:ea typeface="Calibri"/>
              <a:cs typeface="Times New Roman"/>
            </a:rPr>
            <a:t> that there are two tables to complete: one table describing the benefits in 2014/15 and another, below that, outlining the benefits in 2015/16. </a:t>
          </a:r>
          <a:r>
            <a:rPr lang="en-GB" sz="1100">
              <a:effectLst/>
              <a:latin typeface="Arial"/>
              <a:ea typeface="Calibri"/>
              <a:cs typeface="Times New Roman"/>
            </a:rPr>
            <a:t>The instructions below refer to the 2014/15 table, but the instructions apply equally to 2015/16 benefits.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this tab, please:</a:t>
          </a:r>
          <a:endParaRPr lang="en-GB" sz="1050">
            <a:effectLst/>
            <a:latin typeface="+mn-lt"/>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The drop-down box in column A should be used to indicate the source of the financial benefit – this can be one of the four original BCF national metrics or other (where a benefit is not directly linked to an original national metric.)</a:t>
          </a: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If</a:t>
          </a:r>
          <a:r>
            <a:rPr lang="en-GB" sz="1100" baseline="0">
              <a:solidFill>
                <a:schemeClr val="dk1"/>
              </a:solidFill>
              <a:effectLst/>
              <a:latin typeface="Arial" panose="020B0604020202020204" pitchFamily="34" charset="0"/>
              <a:ea typeface="+mn-ea"/>
              <a:cs typeface="Arial" panose="020B0604020202020204" pitchFamily="34" charset="0"/>
            </a:rPr>
            <a:t> 'Other' is chosen in column A please provide more detail in column B.</a:t>
          </a:r>
          <a:endParaRPr lang="en-GB" sz="1100">
            <a:effectLst/>
            <a:latin typeface="Arial" panose="020B0604020202020204" pitchFamily="34" charset="0"/>
            <a:cs typeface="Arial" panose="020B0604020202020204" pitchFamily="34" charset="0"/>
          </a:endParaRPr>
        </a:p>
        <a:p>
          <a:pPr marL="342900" lvl="0" indent="-342900">
            <a:spcAft>
              <a:spcPts val="0"/>
            </a:spcAft>
            <a:buFont typeface="Symbol"/>
            <a:buChar char=""/>
          </a:pPr>
          <a:r>
            <a:rPr lang="en-GB" sz="1100">
              <a:effectLst/>
              <a:latin typeface="Arial"/>
              <a:ea typeface="Calibri"/>
              <a:cs typeface="Times New Roman"/>
            </a:rPr>
            <a:t>Select the category of organisation who will benefit using the drop-down box in column C;</a:t>
          </a:r>
        </a:p>
        <a:p>
          <a:pPr marL="342900" lvl="0" indent="-342900">
            <a:spcAft>
              <a:spcPts val="0"/>
            </a:spcAft>
            <a:buFont typeface="Symbol"/>
            <a:buChar char=""/>
          </a:pPr>
          <a:r>
            <a:rPr lang="en-GB" sz="1100">
              <a:effectLst/>
              <a:latin typeface="Arial"/>
              <a:ea typeface="Calibri"/>
              <a:cs typeface="Times New Roman"/>
            </a:rPr>
            <a:t>In column E please enter the</a:t>
          </a:r>
          <a:r>
            <a:rPr lang="en-GB" sz="1100" baseline="0">
              <a:effectLst/>
              <a:latin typeface="Arial"/>
              <a:ea typeface="Calibri"/>
              <a:cs typeface="Times New Roman"/>
            </a:rPr>
            <a:t> planned change in metric due to Better Care Fund schemes being implemented, relative to what you would have expected it to be without the Better Care Fund. </a:t>
          </a:r>
          <a:r>
            <a:rPr lang="en-GB" sz="1100" baseline="0">
              <a:solidFill>
                <a:schemeClr val="dk1"/>
              </a:solidFill>
              <a:effectLst/>
              <a:latin typeface="Arial"/>
              <a:ea typeface="Calibri"/>
              <a:cs typeface="Times New Roman"/>
            </a:rPr>
            <a:t>You may wish to refer to tab 6 which provides projected figures which crudely estimate the activity for 2014/15 and 2015/16 based on historic trends”.</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Where a scheme is linked to one of the four BCF national metrics the activity change figure must be entered</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For 'Other' schemes please enter -1 if the change in activity measure is not applicable.</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Please enter all reductions in activity as negative numbers.</a:t>
          </a:r>
        </a:p>
        <a:p>
          <a:pPr marL="342900" lvl="0" indent="-342900">
            <a:spcAft>
              <a:spcPts val="0"/>
            </a:spcAft>
            <a:buFont typeface="Symbol"/>
            <a:buChar char=""/>
          </a:pPr>
          <a:r>
            <a:rPr lang="en-GB" sz="1100">
              <a:effectLst/>
              <a:latin typeface="Arial"/>
              <a:ea typeface="Calibri"/>
              <a:cs typeface="Times New Roman"/>
            </a:rPr>
            <a:t>In column F enter the unit price of the activity being</a:t>
          </a:r>
          <a:r>
            <a:rPr lang="en-GB" sz="1100" baseline="0">
              <a:effectLst/>
              <a:latin typeface="Arial"/>
              <a:ea typeface="Calibri"/>
              <a:cs typeface="Times New Roman"/>
            </a:rPr>
            <a:t> changed. Where the change in activity measure is not applicable please enter the value of the saving in column E as a positive number</a:t>
          </a:r>
          <a:r>
            <a:rPr lang="en-GB" sz="1100">
              <a:effectLst/>
              <a:latin typeface="Arial"/>
              <a:ea typeface="Calibri"/>
              <a:cs typeface="Times New Roman"/>
            </a:rPr>
            <a:t>. </a:t>
          </a:r>
        </a:p>
        <a:p>
          <a:pPr marL="342900" lvl="0" indent="-342900">
            <a:spcAft>
              <a:spcPts val="0"/>
            </a:spcAft>
            <a:buFont typeface="Symbol"/>
            <a:buChar char=""/>
          </a:pPr>
          <a:r>
            <a:rPr lang="en-GB" sz="1100" b="0">
              <a:effectLst/>
              <a:latin typeface="Arial"/>
              <a:ea typeface="Calibri"/>
              <a:cs typeface="Times New Roman"/>
            </a:rPr>
            <a:t>Column</a:t>
          </a:r>
          <a:r>
            <a:rPr lang="en-GB" sz="1100" b="0" baseline="0">
              <a:effectLst/>
              <a:latin typeface="Arial"/>
              <a:ea typeface="Calibri"/>
              <a:cs typeface="Times New Roman"/>
            </a:rPr>
            <a:t> G is the product of columns E and F, although please note that the unit price used in the calculation for non elective admissions will default to £1,490.</a:t>
          </a:r>
        </a:p>
        <a:p>
          <a:pPr marL="0" indent="0">
            <a:spcAft>
              <a:spcPts val="0"/>
            </a:spcAft>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5. HWB P4P metric</a:t>
          </a:r>
        </a:p>
        <a:p>
          <a:pPr marL="0" indent="0">
            <a:spcAft>
              <a:spcPts val="0"/>
            </a:spcAft>
          </a:pPr>
          <a:endParaRPr lang="en-GB" sz="1100" b="1">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a:ea typeface="Calibri"/>
              <a:cs typeface="Times New Roman"/>
            </a:rPr>
            <a:t>Non-elective admissions to hospital, per 100,000 population is the sole pay-for-performance metric in the BCF.  Baseline figures are based on a mapping  of CCG level data to HWB. The BCF Techncial Guidance provides a specification for this metric and comments/instructions in the tab should provide the information required to complete this tab.</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6. HWB Supporting Metrics</a:t>
          </a:r>
        </a:p>
        <a:p>
          <a:pPr marL="0" indent="0">
            <a:spcAft>
              <a:spcPts val="0"/>
            </a:spcAft>
          </a:pPr>
          <a:endParaRPr lang="en-GB" sz="1100" b="0">
            <a:solidFill>
              <a:schemeClr val="dk1"/>
            </a:solidFill>
            <a:effectLst/>
            <a:latin typeface="Arial"/>
            <a:ea typeface="Calibri"/>
            <a:cs typeface="Times New Roman"/>
          </a:endParaRPr>
        </a:p>
        <a:p>
          <a:pPr marL="0" indent="0">
            <a:spcAft>
              <a:spcPts val="0"/>
            </a:spcAft>
          </a:pPr>
          <a:r>
            <a:rPr lang="en-GB" sz="1100" b="0">
              <a:solidFill>
                <a:schemeClr val="dk1"/>
              </a:solidFill>
              <a:effectLst/>
              <a:latin typeface="Arial"/>
              <a:ea typeface="Calibri"/>
              <a:cs typeface="Times New Roman"/>
            </a:rPr>
            <a:t>The BCF also requires plans to be set for 3 national</a:t>
          </a:r>
          <a:r>
            <a:rPr lang="en-GB" sz="1100" b="0" baseline="0">
              <a:solidFill>
                <a:schemeClr val="dk1"/>
              </a:solidFill>
              <a:effectLst/>
              <a:latin typeface="Arial"/>
              <a:ea typeface="Calibri"/>
              <a:cs typeface="Times New Roman"/>
            </a:rPr>
            <a:t> metrics, a patient/service user experience metric and a local metric. The BCF Techncial Guidance gives the specification and details around each of these metrics. Comments and instructions in the tab should provide the information required to complete the tab.</a:t>
          </a:r>
        </a:p>
        <a:p>
          <a:pPr marL="0" indent="0">
            <a:spcAft>
              <a:spcPts val="0"/>
            </a:spcAft>
          </a:pPr>
          <a:endParaRPr lang="en-GB" sz="1100" b="0" baseline="0">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7. Metric trends</a:t>
          </a: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This</a:t>
          </a:r>
          <a:r>
            <a:rPr lang="en-GB" sz="1100" baseline="0">
              <a:effectLst/>
              <a:latin typeface="Arial"/>
              <a:ea typeface="Calibri"/>
              <a:cs typeface="Times New Roman"/>
            </a:rPr>
            <a:t> tab provides support to HWBs in setting their plans in the previous two tabs - no information needs to be completed in this tab although projected figures can be modified if this is useful to HWBs.</a:t>
          </a:r>
          <a:endParaRPr lang="en-GB" sz="1100">
            <a:effectLst/>
            <a:latin typeface="+mn-lt"/>
            <a:ea typeface="Calibri"/>
            <a:cs typeface="Times New Roman"/>
          </a:endParaRPr>
        </a:p>
        <a:p>
          <a:endParaRPr lang="en-GB" sz="1200">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216131</xdr:colOff>
          <xdr:row>3</xdr:row>
          <xdr:rowOff>66502</xdr:rowOff>
        </xdr:from>
        <xdr:to>
          <xdr:col>3</xdr:col>
          <xdr:colOff>515389</xdr:colOff>
          <xdr:row>18</xdr:row>
          <xdr:rowOff>182880</xdr:rowOff>
        </xdr:to>
        <xdr:sp macro="" textlink="">
          <xdr:nvSpPr>
            <xdr:cNvPr id="5121" name="List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276224</xdr:colOff>
      <xdr:row>46</xdr:row>
      <xdr:rowOff>85724</xdr:rowOff>
    </xdr:from>
    <xdr:to>
      <xdr:col>5</xdr:col>
      <xdr:colOff>752475</xdr:colOff>
      <xdr:row>59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333374</xdr:colOff>
      <xdr:row>69</xdr:row>
      <xdr:rowOff>66673</xdr:rowOff>
    </xdr:from>
    <xdr:to>
      <xdr:col>5</xdr:col>
      <xdr:colOff>466725</xdr:colOff>
      <xdr:row>81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90</xdr:row>
      <xdr:rowOff>104775</xdr:rowOff>
    </xdr:from>
    <xdr:to>
      <xdr:col>11</xdr:col>
      <xdr:colOff>295274</xdr:colOff>
      <xdr:row>106</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352424</xdr:colOff>
      <xdr:row>12</xdr:row>
      <xdr:rowOff>28574</xdr:rowOff>
    </xdr:from>
    <xdr:to>
      <xdr:col>10</xdr:col>
      <xdr:colOff>19049</xdr:colOff>
      <xdr:row>27</xdr:row>
      <xdr:rowOff>133349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Schappel\AppData\Local\Microsoft\Windows\Temporary%20Internet%20Files\Content.Outlook\7F9GYZEV\Breakdown%20of%20BCF%20funding.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k Turner" refreshedDate="41837.406688194445" createdVersion="4" refreshedVersion="4" minRefreshableVersion="3" recordCount="346">
  <cacheSource type="worksheet">
    <worksheetSource ref="A3:C366" sheet="£1bn" r:id="rId2"/>
  </cacheSource>
  <cacheFields count="3">
    <cacheField name="HWB" numFmtId="0">
      <sharedItems containsBlank="1" count="153">
        <s v="Barking and Dagenham"/>
        <s v="Barnet"/>
        <s v="Barnsley"/>
        <s v="Bath and North East Somerset"/>
        <s v="Bedford"/>
        <s v="Bexley"/>
        <s v="Birmingham"/>
        <s v="Blackburn with Darwen"/>
        <s v="Blackpool"/>
        <s v="Bolton"/>
        <s v="Bournemouth"/>
        <s v="Bracknell Forest"/>
        <s v="Bradford"/>
        <s v="Brent"/>
        <s v="Brighton and Hove"/>
        <s v="Bristol, City of"/>
        <s v="Bromley"/>
        <s v="Buckinghamshire"/>
        <m/>
        <s v="Bury"/>
        <s v="Calderdale"/>
        <s v="Cambridgeshire"/>
        <s v="Camden"/>
        <s v="Central Bedfordshire"/>
        <s v="Cheshire East"/>
        <s v="Cheshire West and Chester"/>
        <s v="City of London"/>
        <s v="Cornwall"/>
        <s v="County Durham"/>
        <s v="Coventry"/>
        <s v="Croydon"/>
        <s v="Cumbria"/>
        <s v="Darlington"/>
        <s v="Derby"/>
        <s v="Derbyshire"/>
        <s v="Devon"/>
        <s v="Doncaster"/>
        <s v="Dorset"/>
        <s v="Dudley"/>
        <s v="Ealing"/>
        <s v="East Riding of Yorkshire"/>
        <s v="East Sussex"/>
        <s v="Enfield"/>
        <s v="Essex"/>
        <s v="Gateshead"/>
        <s v="Gloucestershire"/>
        <s v="Greenwich"/>
        <s v="Hackney"/>
        <s v="Halton"/>
        <s v="Hammersmith and Fulham"/>
        <s v="Hampshire"/>
        <s v="Haringey"/>
        <s v="Harrow"/>
        <s v="Hartlepool"/>
        <s v="Havering"/>
        <s v="Herefordshire, County of"/>
        <s v="Hertfordshire"/>
        <s v="Hillingdon"/>
        <s v="Hounslow"/>
        <s v="Isle of Wight"/>
        <s v="Isles of Scilly"/>
        <s v="Islington"/>
        <s v="Kensington and Chelsea"/>
        <s v="Kent"/>
        <s v="Kingston upon Hull, City of"/>
        <s v="Kingston upon Thames"/>
        <s v="Kirklees"/>
        <s v="Knowsley"/>
        <s v="Lambeth"/>
        <s v="Lancashire"/>
        <s v="Leeds"/>
        <s v="Leicester"/>
        <s v="Leicestershire"/>
        <s v="Lewisham"/>
        <s v="Lincolnshire"/>
        <s v="Liverpool"/>
        <s v="Luton"/>
        <s v="Manchester"/>
        <s v="Medway"/>
        <s v="Merton"/>
        <s v="Middlesbrough"/>
        <s v="Milton Keynes"/>
        <s v="Newcastle upon Tyne"/>
        <s v="Newham"/>
        <s v="Norfolk"/>
        <s v="North East Lincolnshire"/>
        <s v="North Lincolnshire"/>
        <s v="North Somerset"/>
        <s v="North Tyneside"/>
        <s v="North Yorkshire"/>
        <s v="Northamptonshire"/>
        <s v="Northumberland"/>
        <s v="Nottingham"/>
        <s v="Nottinghamshire"/>
        <s v="Oldham"/>
        <s v="Oxfordshire"/>
        <s v="Peterborough"/>
        <s v="Plymouth"/>
        <s v="Poole"/>
        <s v="Portsmouth"/>
        <s v="Reading"/>
        <s v="Redbridge"/>
        <s v="Redcar and Cleveland"/>
        <s v="Richmond upon Thames"/>
        <s v="Rochdale"/>
        <s v="Rotherham"/>
        <s v="Rutland"/>
        <s v="Salford"/>
        <s v="Sandwell"/>
        <s v="Sefton"/>
        <s v="Sheffield"/>
        <s v="Shropshire"/>
        <s v="Slough"/>
        <s v="Solihull"/>
        <s v="Somerset"/>
        <s v="South Gloucestershire"/>
        <s v="South Tyneside"/>
        <s v="Southampton"/>
        <s v="Southend-on-Sea"/>
        <s v="Southwark"/>
        <s v="St. Helens"/>
        <s v="Staffordshire"/>
        <s v="Stockport"/>
        <s v="Stockton-on-Tees"/>
        <s v="Stoke-on-Trent"/>
        <s v="Suffolk"/>
        <s v="Sunderland"/>
        <s v="Surrey"/>
        <s v="Sutton"/>
        <s v="Swindon"/>
        <s v="Tameside"/>
        <s v="Telford and Wrekin"/>
        <s v="Thurrock"/>
        <s v="Torbay"/>
        <s v="Tower Hamlets"/>
        <s v="Trafford"/>
        <s v="Wakefield"/>
        <s v="Walsall"/>
        <s v="Waltham Forest"/>
        <s v="Wandsworth"/>
        <s v="Warrington"/>
        <s v="Warwickshire"/>
        <s v="West Berkshire"/>
        <s v="West Sussex"/>
        <s v="Westminster"/>
        <s v="Wigan"/>
        <s v="Wiltshire"/>
        <s v="Windsor and Maidenhead"/>
        <s v="Wirral"/>
        <s v="Wokingham"/>
        <s v="Wolverhampton"/>
        <s v="Worcestershire"/>
        <s v="York"/>
      </sharedItems>
    </cacheField>
    <cacheField name="CCG" numFmtId="0">
      <sharedItems containsBlank="1" count="213">
        <s v="NHS Barking and Dagenham CCG"/>
        <s v="NHS Barnet CCG"/>
        <s v="NHS Barnsley CCG"/>
        <s v="NHS Bath and North East Somerset CCG"/>
        <s v="NHS Bedfordshire CCG"/>
        <s v="NHS Bexley CCG"/>
        <s v="NHS Sandwell and West Birmingham CCG"/>
        <s v="NHS Birmingham South and Central CCG"/>
        <s v="NHS Birmingham Crosscity CCG"/>
        <s v="NHS Blackburn with Darwen CCG"/>
        <s v="NHS Blackpool CCG"/>
        <s v="NHS Bolton CCG"/>
        <s v="NHS Dorset CCG"/>
        <s v="NHS Bracknell and Ascot CCG"/>
        <s v="NHS Bradford Districts CCG"/>
        <s v="NHS Bradford City CCG"/>
        <s v="NHS Airedale, Wharfedale and Craven CCG"/>
        <s v="NHS Brent CCG"/>
        <s v="NHS Brighton and Hove CCG"/>
        <s v="NHS Bristol CCG"/>
        <s v="NHS Bromley CCG"/>
        <s v="NHS Milton Keynes CCG"/>
        <s v="NHS Chiltern CCG"/>
        <s v="NHS Aylesbury Vale CCG"/>
        <s v=""/>
        <s v="NHS Bury CCG"/>
        <s v="NHS Calderdale CCG"/>
        <s v="NHS Cambridgeshire and Peterborough CCG"/>
        <m/>
        <s v="NHS Camden CCG"/>
        <s v="NHS South Cheshire CCG"/>
        <s v="NHS Eastern Cheshire CCG"/>
        <s v="NHS West Cheshire CCG"/>
        <s v="NHS Vale Royal CCG"/>
        <s v="NHS City and Hackney CCG"/>
        <s v="NHS Kernow CCG"/>
        <s v="NHS North Durham CCG"/>
        <s v="NHS Durham Dales, Easington and Sedgefield CCG"/>
        <s v="NHS Coventry and Rugby CCG"/>
        <s v="NHS Croydon CCG"/>
        <s v="NHS Cumbria CCG"/>
        <s v="NHS Darlington CCG"/>
        <s v="NHS Southern Derbyshire CCG"/>
        <s v="NHS Tameside and Glossop CCG"/>
        <s v="NHS North Derbyshire CCG"/>
        <s v="NHS Hardwick CCG"/>
        <s v="NHS Erewash CCG"/>
        <s v="NHS South Devon and Torbay CCG"/>
        <s v="NHS North, East, West Devon CCG"/>
        <s v="NHS Doncaster CCG"/>
        <s v="NHS Dudley CCG"/>
        <s v="NHS Ealing CCG"/>
        <s v="NHS Vale of York CCG"/>
        <s v="NHS East Riding of Yorkshire CCG"/>
        <s v="NHS High Weald Lewes Havens CCG"/>
        <s v="NHS Hastings and Rother CCG"/>
        <s v="NHS Eastbourne, Hailsham and Seaford CCG"/>
        <s v="NHS Enfield CCG"/>
        <s v="NHS West Essex CCG"/>
        <s v="NHS North East Essex CCG"/>
        <s v="NHS Mid Essex CCG"/>
        <s v="NHS Castle Point and Rochford CCG"/>
        <s v="NHS Basildon and Brentwood CCG"/>
        <s v="NHS Gateshead CCG"/>
        <s v="NHS Gloucestershire CCG"/>
        <s v="NHS Greenwich CCG"/>
        <s v="NHS Halton CCG"/>
        <s v="NHS Hammersmith and Fulham CCG"/>
        <s v="NHS West Hampshire CCG"/>
        <s v="NHS South Eastern Hampshire CCG"/>
        <s v="NHS North Hampshire CCG"/>
        <s v="NHS North East Hampshire and Farnham CCG"/>
        <s v="NHS Fareham and Gosport CCG"/>
        <s v="NHS Haringey CCG"/>
        <s v="NHS Harrow CCG"/>
        <s v="NHS Hartlepool and Stockton-On-Tees CCG"/>
        <s v="NHS Havering CCG"/>
        <s v="NHS Herefordshire CCG"/>
        <s v="NHS Herts Valleys CCG"/>
        <s v="NHS East and North Hertfordshire CCG"/>
        <s v="NHS Hillingdon CCG"/>
        <s v="NHS Hounslow CCG"/>
        <s v="NHS Isle of Wight CCG"/>
        <s v="NHS Islington CCG"/>
        <s v="NHS West London (K&amp;C &amp; QPP) CCG"/>
        <s v="NHS West Kent CCG"/>
        <s v="NHS Thanet CCG"/>
        <s v="NHS Swale CCG"/>
        <s v="NHS South Kent Coast CCG"/>
        <s v="NHS Dartford, Gravesham and Swanley CCG"/>
        <s v="NHS Canterbury and Coastal CCG"/>
        <s v="NHS Ashford CCG"/>
        <s v="NHS Hull CCG"/>
        <s v="NHS Kingston CCG"/>
        <s v="NHS North Kirklees CCG"/>
        <s v="NHS Greater Huddersfield CCG"/>
        <s v="NHS Knowsley CCG"/>
        <s v="NHS Lambeth CCG"/>
        <s v="NHS West Lancashire CCG"/>
        <s v="NHS Lancashire North CCG"/>
        <s v="NHS Greater Preston CCG"/>
        <s v="NHS Fylde &amp; Wyre CCG"/>
        <s v="NHS East Lancashire CCG"/>
        <s v="NHS Chorley and South Ribble CCG"/>
        <s v="NHS Leeds West CCG"/>
        <s v="NHS Leeds South and East CCG"/>
        <s v="NHS Leeds North CCG"/>
        <s v="NHS Leicester City CCG"/>
        <s v="NHS West Leicestershire CCG"/>
        <s v="NHS East Leicestershire and Rutland CCG"/>
        <s v="NHS Lewisham CCG"/>
        <s v="NHS South West Lincolnshire CCG"/>
        <s v="NHS South Lincolnshire CCG"/>
        <s v="NHS Lincolnshire West CCG"/>
        <s v="NHS Lincolnshire East CCG"/>
        <s v="NHS Liverpool CCG"/>
        <s v="NHS Luton CCG"/>
        <s v="NHS South Manchester CCG"/>
        <s v="NHS North Manchester CCG"/>
        <s v="NHS Central Manchester CCG"/>
        <s v="NHS Medway CCG"/>
        <s v="NHS Merton CCG"/>
        <s v="NHS South Tees CCG"/>
        <s v="NHS Newcastle West CCG"/>
        <s v="NHS Newcastle North and East CCG"/>
        <s v="NHS Newham CCG"/>
        <s v="NHS West Norfolk CCG"/>
        <s v="NHS South Norfolk CCG"/>
        <s v="NHS Norwich CCG"/>
        <s v="NHS North Norfolk CCG"/>
        <s v="NHS Great Yarmouth and Waveney CCG"/>
        <s v="NHS North East Lincolnshire CCG"/>
        <s v="NHS North Lincolnshire CCG"/>
        <s v="NHS North Somerset CCG"/>
        <s v="NHS North Tyneside CCG"/>
        <s v="NHS Scarborough and Ryedale CCG"/>
        <s v="NHS Harrogate and Rural District CCG"/>
        <s v="NHS Hambleton, Richmondshire and Whitby CCG"/>
        <s v="NHS Nene CCG"/>
        <s v="NHS Corby CCG"/>
        <s v="NHS Northumberland CCG"/>
        <s v="NHS Nottingham City CCG"/>
        <s v="NHS Rushcliffe CCG"/>
        <s v="NHS Nottingham West CCG"/>
        <s v="NHS Nottingham North and East CCG"/>
        <s v="NHS Newark &amp; Sherwood CCG"/>
        <s v="NHS Mansfield and Ashfield CCG"/>
        <s v="NHS Bassetlaw CCG"/>
        <s v="NHS Oldham CCG"/>
        <s v="NHS Swindon CCG"/>
        <s v="NHS Oxfordshire CCG"/>
        <s v="NHS Portsmouth CCG"/>
        <s v="NHS South Reading CCG"/>
        <s v="NHS North &amp; West Reading CCG"/>
        <s v="NHS Redbridge CCG"/>
        <s v="NHS Richmond CCG"/>
        <s v="NHS Heywood, Middleton and Rochdale CCG"/>
        <s v="NHS Rotherham CCG"/>
        <s v="NHS Salford CCG"/>
        <s v="NHS Southport and Formby CCG"/>
        <s v="NHS South Sefton CCG"/>
        <s v="NHS Sheffield CCG"/>
        <s v="NHS Shropshire CCG"/>
        <s v="NHS Slough CCG"/>
        <s v="NHS Solihull CCG"/>
        <s v="NHS Somerset CCG"/>
        <s v="NHS South Gloucestershire CCG"/>
        <s v="NHS South Tyneside CCG"/>
        <s v="NHS Southampton CCG"/>
        <s v="NHS Southend CCG"/>
        <s v="NHS Southwark CCG"/>
        <s v="NHS St Helens CCG"/>
        <s v="NHS Stoke on Trent CCG"/>
        <s v="NHS Stafford and Surrounds CCG"/>
        <s v="NHS South East Staffs and Seisdon Peninsular CCG"/>
        <s v="NHS North Staffordshire CCG"/>
        <s v="NHS East Staffordshire CCG"/>
        <s v="NHS Cannock Chase CCG"/>
        <s v="NHS Stockport CCG"/>
        <s v="NHS West Suffolk CCG"/>
        <s v="NHS Ipswich and East Suffolk CCG"/>
        <s v="NHS Sunderland CCG"/>
        <s v="NHS Windsor, Ascot and Maidenhead CCG"/>
        <s v="NHS Surrey Heath CCG"/>
        <s v="NHS Surrey Downs CCG"/>
        <s v="NHS North West Surrey CCG"/>
        <s v="NHS Guildford and Waverley CCG"/>
        <s v="NHS East Surrey CCG"/>
        <s v="NHS Sutton CCG"/>
        <s v="NHS Telford and Wrekin CCG"/>
        <s v="NHS Thurrock CCG"/>
        <s v="NHS Tower Hamlets CCG"/>
        <s v="NHS Trafford CCG"/>
        <s v="NHS Wakefield CCG"/>
        <s v="NHS Walsall CCG"/>
        <s v="NHS Waltham Forest CCG"/>
        <s v="NHS Wandsworth CCG"/>
        <s v="NHS Warrington CCG"/>
        <s v="NHS Warwickshire North CCG"/>
        <s v="NHS South Warwickshire CCG"/>
        <s v="NHS Newbury and District CCG"/>
        <s v="NHS Horsham and Mid Sussex CCG"/>
        <s v="NHS Crawley CCG"/>
        <s v="NHS Coastal West Sussex CCG"/>
        <s v="NHS Central London (Westminster) CCG"/>
        <s v="NHS Wigan Borough CCG"/>
        <s v="NHS Wiltshire CCG"/>
        <s v="NHS Wirral CCG"/>
        <s v="NHS Wokingham CCG"/>
        <s v="NHS Wolverhampton CCG"/>
        <s v="NHS Wyre Forest CCG"/>
        <s v="NHS South Worcestershire CCG"/>
        <s v="NHS Redditch and Bromsgrove CCG"/>
      </sharedItems>
    </cacheField>
    <cacheField name="£1bn" numFmtId="0">
      <sharedItems containsBlank="1" containsMixedTypes="1" containsNumber="1" minValue="39.017341040462426" maxValue="14105.7803468208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x v="0"/>
    <n v="3773.1213872832368"/>
  </r>
  <r>
    <x v="1"/>
    <x v="1"/>
    <n v="6225.4335260115604"/>
  </r>
  <r>
    <x v="2"/>
    <x v="2"/>
    <n v="5305.7803468208094"/>
  </r>
  <r>
    <x v="3"/>
    <x v="3"/>
    <n v="3205.4913294797689"/>
  </r>
  <r>
    <x v="4"/>
    <x v="4"/>
    <n v="2715.6069364161849"/>
  </r>
  <r>
    <x v="5"/>
    <x v="5"/>
    <n v="3961.849710982659"/>
  </r>
  <r>
    <x v="6"/>
    <x v="6"/>
    <n v="3172.5433526011561"/>
  </r>
  <r>
    <x v="6"/>
    <x v="7"/>
    <n v="4175.722543352601"/>
  </r>
  <r>
    <x v="6"/>
    <x v="8"/>
    <n v="14105.780346820809"/>
  </r>
  <r>
    <x v="7"/>
    <x v="9"/>
    <n v="3123.1213872832368"/>
  </r>
  <r>
    <x v="8"/>
    <x v="10"/>
    <n v="3593.0635838150288"/>
  </r>
  <r>
    <x v="9"/>
    <x v="11"/>
    <n v="5479.7687861271679"/>
  </r>
  <r>
    <x v="10"/>
    <x v="12"/>
    <n v="3532.6589595375722"/>
  </r>
  <r>
    <x v="11"/>
    <x v="13"/>
    <n v="1761.2716763005781"/>
  </r>
  <r>
    <x v="12"/>
    <x v="14"/>
    <n v="6160.115606936416"/>
  </r>
  <r>
    <x v="12"/>
    <x v="15"/>
    <n v="1648.8439306358382"/>
  </r>
  <r>
    <x v="12"/>
    <x v="16"/>
    <n v="2057.2254335260118"/>
  </r>
  <r>
    <x v="13"/>
    <x v="17"/>
    <n v="5731.7919075144509"/>
  </r>
  <r>
    <x v="14"/>
    <x v="18"/>
    <n v="5221.0982658959538"/>
  </r>
  <r>
    <x v="15"/>
    <x v="19"/>
    <n v="8070.5202312138726"/>
  </r>
  <r>
    <x v="16"/>
    <x v="20"/>
    <n v="5558.3815028901736"/>
  </r>
  <r>
    <x v="17"/>
    <x v="21"/>
    <n v="98.265895953757223"/>
  </r>
  <r>
    <x v="17"/>
    <x v="22"/>
    <n v="4649.7109826589594"/>
  </r>
  <r>
    <x v="17"/>
    <x v="23"/>
    <n v="2878.3236994219651"/>
  </r>
  <r>
    <x v="18"/>
    <x v="24"/>
    <s v=""/>
  </r>
  <r>
    <x v="19"/>
    <x v="25"/>
    <n v="3389.3063583815028"/>
  </r>
  <r>
    <x v="20"/>
    <x v="26"/>
    <n v="4001.7341040462429"/>
  </r>
  <r>
    <x v="21"/>
    <x v="27"/>
    <n v="9956.9364161849717"/>
  </r>
  <r>
    <x v="18"/>
    <x v="28"/>
    <s v=""/>
  </r>
  <r>
    <x v="18"/>
    <x v="28"/>
    <s v=""/>
  </r>
  <r>
    <x v="18"/>
    <x v="28"/>
    <s v=""/>
  </r>
  <r>
    <x v="18"/>
    <x v="28"/>
    <s v=""/>
  </r>
  <r>
    <x v="22"/>
    <x v="29"/>
    <n v="5251.4450867052019"/>
  </r>
  <r>
    <x v="23"/>
    <x v="4"/>
    <n v="4032.9479768786127"/>
  </r>
  <r>
    <x v="24"/>
    <x v="30"/>
    <n v="3029.1907514450868"/>
  </r>
  <r>
    <x v="24"/>
    <x v="31"/>
    <n v="3356.0693641618495"/>
  </r>
  <r>
    <x v="25"/>
    <x v="32"/>
    <n v="4569.9421965317915"/>
  </r>
  <r>
    <x v="25"/>
    <x v="33"/>
    <n v="1819.3641618497111"/>
  </r>
  <r>
    <x v="26"/>
    <x v="34"/>
    <n v="211.56069364161849"/>
  </r>
  <r>
    <x v="27"/>
    <x v="35"/>
    <n v="10934.971098265896"/>
  </r>
  <r>
    <x v="28"/>
    <x v="36"/>
    <n v="4978.6127167630057"/>
  </r>
  <r>
    <x v="28"/>
    <x v="37"/>
    <n v="6348.8439306358378"/>
  </r>
  <r>
    <x v="29"/>
    <x v="38"/>
    <n v="6294.2196531791906"/>
  </r>
  <r>
    <x v="30"/>
    <x v="39"/>
    <n v="6213.2947976878613"/>
  </r>
  <r>
    <x v="31"/>
    <x v="40"/>
    <n v="10408.381502890174"/>
  </r>
  <r>
    <x v="18"/>
    <x v="24"/>
    <s v=""/>
  </r>
  <r>
    <x v="18"/>
    <x v="24"/>
    <s v=""/>
  </r>
  <r>
    <x v="18"/>
    <x v="24"/>
    <s v=""/>
  </r>
  <r>
    <x v="18"/>
    <x v="24"/>
    <s v=""/>
  </r>
  <r>
    <x v="18"/>
    <x v="24"/>
    <s v=""/>
  </r>
  <r>
    <x v="32"/>
    <x v="41"/>
    <n v="2073.6994219653179"/>
  </r>
  <r>
    <x v="33"/>
    <x v="42"/>
    <n v="4585.5491329479764"/>
  </r>
  <r>
    <x v="34"/>
    <x v="43"/>
    <n v="629.47976878612712"/>
  </r>
  <r>
    <x v="34"/>
    <x v="42"/>
    <n v="4902.6011560693642"/>
  </r>
  <r>
    <x v="34"/>
    <x v="44"/>
    <n v="5618.2080924855491"/>
  </r>
  <r>
    <x v="34"/>
    <x v="45"/>
    <n v="2099.1329479768788"/>
  </r>
  <r>
    <x v="34"/>
    <x v="46"/>
    <n v="1820.8092485549132"/>
  </r>
  <r>
    <x v="18"/>
    <x v="24"/>
    <s v=""/>
  </r>
  <r>
    <x v="18"/>
    <x v="24"/>
    <s v=""/>
  </r>
  <r>
    <x v="18"/>
    <x v="24"/>
    <s v=""/>
  </r>
  <r>
    <x v="35"/>
    <x v="47"/>
    <n v="2965.8959537572255"/>
  </r>
  <r>
    <x v="35"/>
    <x v="48"/>
    <n v="11556.64739884393"/>
  </r>
  <r>
    <x v="18"/>
    <x v="24"/>
    <s v=""/>
  </r>
  <r>
    <x v="18"/>
    <x v="24"/>
    <s v=""/>
  </r>
  <r>
    <x v="18"/>
    <x v="24"/>
    <s v=""/>
  </r>
  <r>
    <x v="18"/>
    <x v="24"/>
    <s v=""/>
  </r>
  <r>
    <x v="18"/>
    <x v="24"/>
    <s v=""/>
  </r>
  <r>
    <x v="18"/>
    <x v="24"/>
    <s v=""/>
  </r>
  <r>
    <x v="36"/>
    <x v="49"/>
    <n v="6380.9248554913293"/>
  </r>
  <r>
    <x v="37"/>
    <x v="12"/>
    <n v="7909.8265895953755"/>
  </r>
  <r>
    <x v="18"/>
    <x v="24"/>
    <s v=""/>
  </r>
  <r>
    <x v="18"/>
    <x v="24"/>
    <s v=""/>
  </r>
  <r>
    <x v="18"/>
    <x v="24"/>
    <s v=""/>
  </r>
  <r>
    <x v="18"/>
    <x v="24"/>
    <s v=""/>
  </r>
  <r>
    <x v="18"/>
    <x v="24"/>
    <s v=""/>
  </r>
  <r>
    <x v="38"/>
    <x v="50"/>
    <n v="5979.7687861271679"/>
  </r>
  <r>
    <x v="39"/>
    <x v="51"/>
    <n v="6440.1734104046245"/>
  </r>
  <r>
    <x v="40"/>
    <x v="52"/>
    <n v="363.58381502890171"/>
  </r>
  <r>
    <x v="40"/>
    <x v="53"/>
    <n v="5552.6011560693642"/>
  </r>
  <r>
    <x v="41"/>
    <x v="54"/>
    <n v="3067.6300578034684"/>
  </r>
  <r>
    <x v="41"/>
    <x v="55"/>
    <n v="3811.5606936416184"/>
  </r>
  <r>
    <x v="41"/>
    <x v="56"/>
    <n v="3684.6820809248557"/>
  </r>
  <r>
    <x v="18"/>
    <x v="24"/>
    <s v=""/>
  </r>
  <r>
    <x v="18"/>
    <x v="24"/>
    <s v=""/>
  </r>
  <r>
    <x v="42"/>
    <x v="57"/>
    <n v="5352.023121387283"/>
  </r>
  <r>
    <x v="43"/>
    <x v="58"/>
    <n v="5039.0173410404623"/>
  </r>
  <r>
    <x v="43"/>
    <x v="59"/>
    <n v="6065.6069364161849"/>
  </r>
  <r>
    <x v="43"/>
    <x v="60"/>
    <n v="6257.5144508670519"/>
  </r>
  <r>
    <x v="43"/>
    <x v="61"/>
    <n v="3130.9248554913293"/>
  </r>
  <r>
    <x v="43"/>
    <x v="62"/>
    <n v="4636.1271676300576"/>
  </r>
  <r>
    <x v="18"/>
    <x v="24"/>
    <s v=""/>
  </r>
  <r>
    <x v="18"/>
    <x v="24"/>
    <s v=""/>
  </r>
  <r>
    <x v="18"/>
    <x v="24"/>
    <s v=""/>
  </r>
  <r>
    <x v="18"/>
    <x v="24"/>
    <s v=""/>
  </r>
  <r>
    <x v="18"/>
    <x v="24"/>
    <s v=""/>
  </r>
  <r>
    <x v="18"/>
    <x v="24"/>
    <s v=""/>
  </r>
  <r>
    <x v="18"/>
    <x v="24"/>
    <s v=""/>
  </r>
  <r>
    <x v="44"/>
    <x v="63"/>
    <n v="4531.2138728323698"/>
  </r>
  <r>
    <x v="45"/>
    <x v="64"/>
    <n v="10401.445086705202"/>
  </r>
  <r>
    <x v="18"/>
    <x v="24"/>
    <s v=""/>
  </r>
  <r>
    <x v="18"/>
    <x v="24"/>
    <s v=""/>
  </r>
  <r>
    <x v="18"/>
    <x v="24"/>
    <s v=""/>
  </r>
  <r>
    <x v="18"/>
    <x v="24"/>
    <s v=""/>
  </r>
  <r>
    <x v="18"/>
    <x v="24"/>
    <s v=""/>
  </r>
  <r>
    <x v="46"/>
    <x v="65"/>
    <n v="5205.2023121387283"/>
  </r>
  <r>
    <x v="47"/>
    <x v="34"/>
    <n v="5389.884393063584"/>
  </r>
  <r>
    <x v="48"/>
    <x v="66"/>
    <n v="2731.5028901734104"/>
  </r>
  <r>
    <x v="49"/>
    <x v="67"/>
    <n v="3800"/>
  </r>
  <r>
    <x v="50"/>
    <x v="68"/>
    <n v="8625.7225433526019"/>
  </r>
  <r>
    <x v="50"/>
    <x v="69"/>
    <n v="3357.5144508670519"/>
  </r>
  <r>
    <x v="50"/>
    <x v="70"/>
    <n v="3292.1965317919075"/>
  </r>
  <r>
    <x v="50"/>
    <x v="71"/>
    <n v="2628.3236994219651"/>
  </r>
  <r>
    <x v="50"/>
    <x v="72"/>
    <n v="3143.3526011560693"/>
  </r>
  <r>
    <x v="18"/>
    <x v="24"/>
    <s v=""/>
  </r>
  <r>
    <x v="18"/>
    <x v="24"/>
    <s v=""/>
  </r>
  <r>
    <x v="18"/>
    <x v="24"/>
    <s v=""/>
  </r>
  <r>
    <x v="18"/>
    <x v="24"/>
    <s v=""/>
  </r>
  <r>
    <x v="18"/>
    <x v="24"/>
    <s v=""/>
  </r>
  <r>
    <x v="18"/>
    <x v="24"/>
    <s v=""/>
  </r>
  <r>
    <x v="51"/>
    <x v="73"/>
    <n v="4760.9826589595377"/>
  </r>
  <r>
    <x v="52"/>
    <x v="74"/>
    <n v="3810.115606936416"/>
  </r>
  <r>
    <x v="53"/>
    <x v="75"/>
    <n v="1922.2543352601156"/>
  </r>
  <r>
    <x v="54"/>
    <x v="76"/>
    <n v="4478.3236994219651"/>
  </r>
  <r>
    <x v="55"/>
    <x v="77"/>
    <n v="3379.7687861271675"/>
  </r>
  <r>
    <x v="56"/>
    <x v="78"/>
    <n v="9584.9710982658962"/>
  </r>
  <r>
    <x v="56"/>
    <x v="79"/>
    <n v="9082.6589595375717"/>
  </r>
  <r>
    <x v="56"/>
    <x v="27"/>
    <n v="289.01734104046244"/>
  </r>
  <r>
    <x v="18"/>
    <x v="24"/>
    <s v=""/>
  </r>
  <r>
    <x v="18"/>
    <x v="24"/>
    <s v=""/>
  </r>
  <r>
    <x v="18"/>
    <x v="24"/>
    <s v=""/>
  </r>
  <r>
    <x v="18"/>
    <x v="24"/>
    <s v=""/>
  </r>
  <r>
    <x v="18"/>
    <x v="24"/>
    <s v=""/>
  </r>
  <r>
    <x v="18"/>
    <x v="24"/>
    <s v=""/>
  </r>
  <r>
    <x v="18"/>
    <x v="24"/>
    <s v=""/>
  </r>
  <r>
    <x v="57"/>
    <x v="80"/>
    <n v="4520.8092485549132"/>
  </r>
  <r>
    <x v="58"/>
    <x v="81"/>
    <n v="4418.4971098265896"/>
  </r>
  <r>
    <x v="59"/>
    <x v="82"/>
    <n v="3122.2543352601156"/>
  </r>
  <r>
    <x v="60"/>
    <x v="35"/>
    <n v="39.017341040462426"/>
  </r>
  <r>
    <x v="61"/>
    <x v="83"/>
    <n v="4907.8034682080925"/>
  </r>
  <r>
    <x v="62"/>
    <x v="84"/>
    <n v="3809.2485549132948"/>
  </r>
  <r>
    <x v="63"/>
    <x v="85"/>
    <n v="7628.3236994219651"/>
  </r>
  <r>
    <x v="63"/>
    <x v="86"/>
    <n v="2803.1791907514453"/>
  </r>
  <r>
    <x v="63"/>
    <x v="87"/>
    <n v="1894.7976878612717"/>
  </r>
  <r>
    <x v="63"/>
    <x v="88"/>
    <n v="3839.0173410404623"/>
  </r>
  <r>
    <x v="63"/>
    <x v="89"/>
    <n v="4319.9421965317915"/>
  </r>
  <r>
    <x v="63"/>
    <x v="90"/>
    <n v="3631.2138728323698"/>
  </r>
  <r>
    <x v="63"/>
    <x v="91"/>
    <n v="2115.8959537572255"/>
  </r>
  <r>
    <x v="18"/>
    <x v="24"/>
    <s v=""/>
  </r>
  <r>
    <x v="18"/>
    <x v="24"/>
    <s v=""/>
  </r>
  <r>
    <x v="18"/>
    <x v="24"/>
    <s v=""/>
  </r>
  <r>
    <x v="18"/>
    <x v="24"/>
    <s v=""/>
  </r>
  <r>
    <x v="18"/>
    <x v="24"/>
    <s v=""/>
  </r>
  <r>
    <x v="64"/>
    <x v="92"/>
    <n v="5729.4797687861274"/>
  </r>
  <r>
    <x v="65"/>
    <x v="93"/>
    <n v="2856.0693641618495"/>
  </r>
  <r>
    <x v="66"/>
    <x v="94"/>
    <n v="3427.1676300578033"/>
  </r>
  <r>
    <x v="66"/>
    <x v="95"/>
    <n v="4247.6878612716764"/>
  </r>
  <r>
    <x v="67"/>
    <x v="96"/>
    <n v="3878.6127167630057"/>
  </r>
  <r>
    <x v="68"/>
    <x v="97"/>
    <n v="6360.4046242774566"/>
  </r>
  <r>
    <x v="69"/>
    <x v="98"/>
    <n v="2144.2196531791906"/>
  </r>
  <r>
    <x v="69"/>
    <x v="99"/>
    <n v="3023.6994219653179"/>
  </r>
  <r>
    <x v="69"/>
    <x v="100"/>
    <n v="3821.6763005780349"/>
  </r>
  <r>
    <x v="69"/>
    <x v="101"/>
    <n v="3167.9190751445085"/>
  </r>
  <r>
    <x v="69"/>
    <x v="102"/>
    <n v="7541.907514450867"/>
  </r>
  <r>
    <x v="69"/>
    <x v="103"/>
    <n v="3275.1445086705203"/>
  </r>
  <r>
    <x v="18"/>
    <x v="24"/>
    <s v=""/>
  </r>
  <r>
    <x v="18"/>
    <x v="24"/>
    <s v=""/>
  </r>
  <r>
    <x v="18"/>
    <x v="24"/>
    <s v=""/>
  </r>
  <r>
    <x v="18"/>
    <x v="24"/>
    <s v=""/>
  </r>
  <r>
    <x v="18"/>
    <x v="24"/>
    <s v=""/>
  </r>
  <r>
    <x v="18"/>
    <x v="24"/>
    <s v=""/>
  </r>
  <r>
    <x v="70"/>
    <x v="104"/>
    <n v="5810.6936416184972"/>
  </r>
  <r>
    <x v="70"/>
    <x v="105"/>
    <n v="5014.7398843930632"/>
  </r>
  <r>
    <x v="70"/>
    <x v="106"/>
    <n v="3660.4046242774566"/>
  </r>
  <r>
    <x v="71"/>
    <x v="107"/>
    <n v="6180.3468208092481"/>
  </r>
  <r>
    <x v="72"/>
    <x v="108"/>
    <n v="5801.4450867052019"/>
  </r>
  <r>
    <x v="72"/>
    <x v="109"/>
    <n v="4389.3063583815028"/>
  </r>
  <r>
    <x v="18"/>
    <x v="24"/>
    <s v=""/>
  </r>
  <r>
    <x v="18"/>
    <x v="24"/>
    <s v=""/>
  </r>
  <r>
    <x v="18"/>
    <x v="24"/>
    <s v=""/>
  </r>
  <r>
    <x v="18"/>
    <x v="24"/>
    <s v=""/>
  </r>
  <r>
    <x v="18"/>
    <x v="24"/>
    <s v=""/>
  </r>
  <r>
    <x v="73"/>
    <x v="110"/>
    <n v="5705.2023121387283"/>
  </r>
  <r>
    <x v="74"/>
    <x v="111"/>
    <n v="2284.6820809248557"/>
  </r>
  <r>
    <x v="74"/>
    <x v="112"/>
    <n v="2835.2601156069363"/>
  </r>
  <r>
    <x v="74"/>
    <x v="113"/>
    <n v="4189.884393063584"/>
  </r>
  <r>
    <x v="74"/>
    <x v="114"/>
    <n v="4678.3236994219651"/>
  </r>
  <r>
    <x v="18"/>
    <x v="24"/>
    <s v=""/>
  </r>
  <r>
    <x v="18"/>
    <x v="24"/>
    <s v=""/>
  </r>
  <r>
    <x v="18"/>
    <x v="24"/>
    <s v=""/>
  </r>
  <r>
    <x v="75"/>
    <x v="115"/>
    <n v="11512.1387283237"/>
  </r>
  <r>
    <x v="76"/>
    <x v="116"/>
    <n v="3467.6300578034684"/>
  </r>
  <r>
    <x v="77"/>
    <x v="117"/>
    <n v="3363.5838150289019"/>
  </r>
  <r>
    <x v="77"/>
    <x v="118"/>
    <n v="3883.2369942196533"/>
  </r>
  <r>
    <x v="77"/>
    <x v="119"/>
    <n v="3631.2138728323698"/>
  </r>
  <r>
    <x v="78"/>
    <x v="120"/>
    <n v="4668.7861271676302"/>
  </r>
  <r>
    <x v="79"/>
    <x v="121"/>
    <n v="3252.6011560693642"/>
  </r>
  <r>
    <x v="80"/>
    <x v="122"/>
    <n v="3013.872832369942"/>
  </r>
  <r>
    <x v="81"/>
    <x v="21"/>
    <n v="3886.7052023121387"/>
  </r>
  <r>
    <x v="82"/>
    <x v="123"/>
    <n v="2958.3815028901736"/>
  </r>
  <r>
    <x v="82"/>
    <x v="124"/>
    <n v="2800.8670520231212"/>
  </r>
  <r>
    <x v="83"/>
    <x v="125"/>
    <n v="6080.9248554913293"/>
  </r>
  <r>
    <x v="84"/>
    <x v="126"/>
    <n v="3307.2254335260118"/>
  </r>
  <r>
    <x v="84"/>
    <x v="127"/>
    <n v="4052.023121387283"/>
  </r>
  <r>
    <x v="84"/>
    <x v="128"/>
    <n v="3539.0173410404623"/>
  </r>
  <r>
    <x v="84"/>
    <x v="129"/>
    <n v="3339.0173410404623"/>
  </r>
  <r>
    <x v="84"/>
    <x v="130"/>
    <n v="2057.8034682080925"/>
  </r>
  <r>
    <x v="18"/>
    <x v="24"/>
    <s v=""/>
  </r>
  <r>
    <x v="18"/>
    <x v="24"/>
    <s v=""/>
  </r>
  <r>
    <x v="85"/>
    <x v="131"/>
    <n v="3250.2890173410406"/>
  </r>
  <r>
    <x v="86"/>
    <x v="132"/>
    <n v="3180.9248554913293"/>
  </r>
  <r>
    <x v="87"/>
    <x v="133"/>
    <n v="3821.6763005780349"/>
  </r>
  <r>
    <x v="88"/>
    <x v="134"/>
    <n v="4402.6011560693642"/>
  </r>
  <r>
    <x v="89"/>
    <x v="52"/>
    <n v="2003.4682080924856"/>
  </r>
  <r>
    <x v="89"/>
    <x v="135"/>
    <n v="2178.6127167630057"/>
  </r>
  <r>
    <x v="89"/>
    <x v="136"/>
    <n v="2762.1387283236995"/>
  </r>
  <r>
    <x v="89"/>
    <x v="137"/>
    <n v="2645.0867052023123"/>
  </r>
  <r>
    <x v="89"/>
    <x v="40"/>
    <n v="92.196531791907518"/>
  </r>
  <r>
    <x v="89"/>
    <x v="16"/>
    <n v="842.19653179190755"/>
  </r>
  <r>
    <x v="18"/>
    <x v="24"/>
    <s v=""/>
  </r>
  <r>
    <x v="90"/>
    <x v="138"/>
    <n v="10301.445086705202"/>
  </r>
  <r>
    <x v="90"/>
    <x v="139"/>
    <n v="1191.6184971098266"/>
  </r>
  <r>
    <x v="90"/>
    <x v="27"/>
    <n v="241.90751445086704"/>
  </r>
  <r>
    <x v="18"/>
    <x v="24"/>
    <s v=""/>
  </r>
  <r>
    <x v="18"/>
    <x v="24"/>
    <s v=""/>
  </r>
  <r>
    <x v="18"/>
    <x v="24"/>
    <s v=""/>
  </r>
  <r>
    <x v="18"/>
    <x v="24"/>
    <s v=""/>
  </r>
  <r>
    <x v="91"/>
    <x v="140"/>
    <n v="6435.5491329479764"/>
  </r>
  <r>
    <x v="92"/>
    <x v="141"/>
    <n v="6191.0404624277453"/>
  </r>
  <r>
    <x v="93"/>
    <x v="142"/>
    <n v="1959.5375722543354"/>
  </r>
  <r>
    <x v="93"/>
    <x v="143"/>
    <n v="1786.1271676300578"/>
  </r>
  <r>
    <x v="93"/>
    <x v="144"/>
    <n v="2634.3930635838151"/>
  </r>
  <r>
    <x v="93"/>
    <x v="145"/>
    <n v="2230.6358381502891"/>
  </r>
  <r>
    <x v="93"/>
    <x v="146"/>
    <n v="3589.0173410404623"/>
  </r>
  <r>
    <x v="93"/>
    <x v="147"/>
    <n v="2175.1445086705203"/>
  </r>
  <r>
    <x v="18"/>
    <x v="24"/>
    <s v=""/>
  </r>
  <r>
    <x v="94"/>
    <x v="148"/>
    <n v="4634.6820809248557"/>
  </r>
  <r>
    <x v="95"/>
    <x v="149"/>
    <n v="102.02312138728324"/>
  </r>
  <r>
    <x v="95"/>
    <x v="150"/>
    <n v="9572.2543352601151"/>
  </r>
  <r>
    <x v="95"/>
    <x v="23"/>
    <n v="122.54335260115607"/>
  </r>
  <r>
    <x v="18"/>
    <x v="24"/>
    <s v=""/>
  </r>
  <r>
    <x v="18"/>
    <x v="24"/>
    <s v=""/>
  </r>
  <r>
    <x v="96"/>
    <x v="27"/>
    <n v="3105.7803468208094"/>
  </r>
  <r>
    <x v="97"/>
    <x v="48"/>
    <n v="5130.0578034682085"/>
  </r>
  <r>
    <x v="98"/>
    <x v="12"/>
    <n v="2841.3294797687863"/>
  </r>
  <r>
    <x v="99"/>
    <x v="151"/>
    <n v="3772.2543352601156"/>
  </r>
  <r>
    <x v="100"/>
    <x v="152"/>
    <n v="1782.0809248554913"/>
  </r>
  <r>
    <x v="100"/>
    <x v="153"/>
    <n v="841.04046242774564"/>
  </r>
  <r>
    <x v="101"/>
    <x v="154"/>
    <n v="4633.5260115606934"/>
  </r>
  <r>
    <x v="102"/>
    <x v="122"/>
    <n v="3010.4046242774566"/>
  </r>
  <r>
    <x v="103"/>
    <x v="155"/>
    <n v="3089.3063583815028"/>
  </r>
  <r>
    <x v="104"/>
    <x v="156"/>
    <n v="4371.3872832369943"/>
  </r>
  <r>
    <x v="105"/>
    <x v="157"/>
    <n v="5303.4682080924858"/>
  </r>
  <r>
    <x v="106"/>
    <x v="109"/>
    <n v="591.32947976878609"/>
  </r>
  <r>
    <x v="107"/>
    <x v="158"/>
    <n v="5225.4335260115604"/>
  </r>
  <r>
    <x v="108"/>
    <x v="6"/>
    <n v="6702.8901734104047"/>
  </r>
  <r>
    <x v="109"/>
    <x v="159"/>
    <n v="2556.3583815028901"/>
  </r>
  <r>
    <x v="109"/>
    <x v="160"/>
    <n v="3580.057803468208"/>
  </r>
  <r>
    <x v="110"/>
    <x v="161"/>
    <n v="10919.942196531792"/>
  </r>
  <r>
    <x v="111"/>
    <x v="162"/>
    <n v="5576.8786127167632"/>
  </r>
  <r>
    <x v="112"/>
    <x v="163"/>
    <n v="2331.7919075144509"/>
  </r>
  <r>
    <x v="113"/>
    <x v="164"/>
    <n v="3965.0289017341042"/>
  </r>
  <r>
    <x v="114"/>
    <x v="165"/>
    <n v="10134.971098265896"/>
  </r>
  <r>
    <x v="18"/>
    <x v="24"/>
    <s v=""/>
  </r>
  <r>
    <x v="18"/>
    <x v="24"/>
    <s v=""/>
  </r>
  <r>
    <x v="18"/>
    <x v="24"/>
    <s v=""/>
  </r>
  <r>
    <x v="18"/>
    <x v="24"/>
    <s v=""/>
  </r>
  <r>
    <x v="115"/>
    <x v="166"/>
    <n v="3908.9595375722542"/>
  </r>
  <r>
    <x v="116"/>
    <x v="167"/>
    <n v="3617.0520231213873"/>
  </r>
  <r>
    <x v="117"/>
    <x v="168"/>
    <n v="4429.1907514450868"/>
  </r>
  <r>
    <x v="118"/>
    <x v="169"/>
    <n v="3358.092485549133"/>
  </r>
  <r>
    <x v="119"/>
    <x v="170"/>
    <n v="5918.4971098265896"/>
  </r>
  <r>
    <x v="120"/>
    <x v="171"/>
    <n v="4099.4219653179189"/>
  </r>
  <r>
    <x v="121"/>
    <x v="172"/>
    <n v="156.35838150289018"/>
  </r>
  <r>
    <x v="121"/>
    <x v="173"/>
    <n v="2452.3121387283236"/>
  </r>
  <r>
    <x v="121"/>
    <x v="174"/>
    <n v="3566.7630057803467"/>
  </r>
  <r>
    <x v="121"/>
    <x v="175"/>
    <n v="3872.5433526011561"/>
  </r>
  <r>
    <x v="121"/>
    <x v="176"/>
    <n v="2161.849710982659"/>
  </r>
  <r>
    <x v="121"/>
    <x v="177"/>
    <n v="2326.0115606936415"/>
  </r>
  <r>
    <x v="18"/>
    <x v="24"/>
    <s v=""/>
  </r>
  <r>
    <x v="18"/>
    <x v="24"/>
    <s v=""/>
  </r>
  <r>
    <x v="122"/>
    <x v="178"/>
    <n v="5319.0751445086707"/>
  </r>
  <r>
    <x v="123"/>
    <x v="75"/>
    <n v="3723.1213872832368"/>
  </r>
  <r>
    <x v="124"/>
    <x v="172"/>
    <n v="5323.4104046242774"/>
  </r>
  <r>
    <x v="125"/>
    <x v="179"/>
    <n v="4110.4046242774566"/>
  </r>
  <r>
    <x v="125"/>
    <x v="180"/>
    <n v="6614.161849710983"/>
  </r>
  <r>
    <x v="125"/>
    <x v="130"/>
    <n v="2426.5895953757226"/>
  </r>
  <r>
    <x v="18"/>
    <x v="24"/>
    <s v=""/>
  </r>
  <r>
    <x v="18"/>
    <x v="24"/>
    <s v=""/>
  </r>
  <r>
    <x v="18"/>
    <x v="24"/>
    <s v=""/>
  </r>
  <r>
    <x v="18"/>
    <x v="24"/>
    <s v=""/>
  </r>
  <r>
    <x v="126"/>
    <x v="181"/>
    <n v="6483.2369942196528"/>
  </r>
  <r>
    <x v="127"/>
    <x v="182"/>
    <n v="156.06936416184971"/>
  </r>
  <r>
    <x v="127"/>
    <x v="183"/>
    <n v="1589.8843930635837"/>
  </r>
  <r>
    <x v="127"/>
    <x v="184"/>
    <n v="4739.3063583815028"/>
  </r>
  <r>
    <x v="127"/>
    <x v="185"/>
    <n v="5724.8554913294802"/>
  </r>
  <r>
    <x v="127"/>
    <x v="71"/>
    <n v="751.73410404624281"/>
  </r>
  <r>
    <x v="127"/>
    <x v="186"/>
    <n v="3245.6647398843929"/>
  </r>
  <r>
    <x v="127"/>
    <x v="187"/>
    <n v="2715.8959537572255"/>
  </r>
  <r>
    <x v="18"/>
    <x v="24"/>
    <s v=""/>
  </r>
  <r>
    <x v="18"/>
    <x v="24"/>
    <s v=""/>
  </r>
  <r>
    <x v="18"/>
    <x v="24"/>
    <s v=""/>
  </r>
  <r>
    <x v="18"/>
    <x v="24"/>
    <s v=""/>
  </r>
  <r>
    <x v="128"/>
    <x v="188"/>
    <n v="3206.9364161849712"/>
  </r>
  <r>
    <x v="129"/>
    <x v="149"/>
    <n v="3396.8208092485547"/>
  </r>
  <r>
    <x v="130"/>
    <x v="43"/>
    <n v="4375.722543352601"/>
  </r>
  <r>
    <x v="131"/>
    <x v="189"/>
    <n v="3008.6705202312137"/>
  </r>
  <r>
    <x v="132"/>
    <x v="190"/>
    <n v="2809.2485549132948"/>
  </r>
  <r>
    <x v="133"/>
    <x v="47"/>
    <n v="3044.2196531791906"/>
  </r>
  <r>
    <x v="134"/>
    <x v="191"/>
    <n v="5415.6069364161849"/>
  </r>
  <r>
    <x v="135"/>
    <x v="192"/>
    <n v="4076.0115606936415"/>
  </r>
  <r>
    <x v="136"/>
    <x v="193"/>
    <n v="7015.8959537572255"/>
  </r>
  <r>
    <x v="137"/>
    <x v="194"/>
    <n v="5590.1734104046245"/>
  </r>
  <r>
    <x v="138"/>
    <x v="195"/>
    <n v="4639.884393063584"/>
  </r>
  <r>
    <x v="139"/>
    <x v="196"/>
    <n v="5782.3699421965321"/>
  </r>
  <r>
    <x v="140"/>
    <x v="197"/>
    <n v="3652.6011560693642"/>
  </r>
  <r>
    <x v="141"/>
    <x v="198"/>
    <n v="3189.5953757225434"/>
  </r>
  <r>
    <x v="141"/>
    <x v="199"/>
    <n v="4479.7687861271679"/>
  </r>
  <r>
    <x v="141"/>
    <x v="38"/>
    <n v="1858.9595375722542"/>
  </r>
  <r>
    <x v="18"/>
    <x v="24"/>
    <s v=""/>
  </r>
  <r>
    <x v="18"/>
    <x v="24"/>
    <s v=""/>
  </r>
  <r>
    <x v="142"/>
    <x v="153"/>
    <n v="810.98265895953762"/>
  </r>
  <r>
    <x v="142"/>
    <x v="200"/>
    <n v="1653.7572254335259"/>
  </r>
  <r>
    <x v="143"/>
    <x v="201"/>
    <n v="3673.9884393063585"/>
  </r>
  <r>
    <x v="143"/>
    <x v="186"/>
    <n v="109.53757225433526"/>
  </r>
  <r>
    <x v="143"/>
    <x v="202"/>
    <n v="2093.6416184971099"/>
  </r>
  <r>
    <x v="143"/>
    <x v="203"/>
    <n v="9021.676300578034"/>
  </r>
  <r>
    <x v="18"/>
    <x v="24"/>
    <s v=""/>
  </r>
  <r>
    <x v="18"/>
    <x v="24"/>
    <s v=""/>
  </r>
  <r>
    <x v="18"/>
    <x v="24"/>
    <s v=""/>
  </r>
  <r>
    <x v="144"/>
    <x v="84"/>
    <n v="1343.9306358381502"/>
  </r>
  <r>
    <x v="144"/>
    <x v="204"/>
    <n v="3917.0520231213873"/>
  </r>
  <r>
    <x v="145"/>
    <x v="205"/>
    <n v="6456.9364161849708"/>
  </r>
  <r>
    <x v="146"/>
    <x v="206"/>
    <n v="7824.5664739884396"/>
  </r>
  <r>
    <x v="147"/>
    <x v="182"/>
    <n v="2023.9884393063585"/>
  </r>
  <r>
    <x v="147"/>
    <x v="13"/>
    <n v="241.90751445086704"/>
  </r>
  <r>
    <x v="148"/>
    <x v="207"/>
    <n v="7206.06936416185"/>
  </r>
  <r>
    <x v="149"/>
    <x v="208"/>
    <n v="2147.6878612716764"/>
  </r>
  <r>
    <x v="150"/>
    <x v="209"/>
    <n v="5184.6820809248557"/>
  </r>
  <r>
    <x v="151"/>
    <x v="210"/>
    <n v="1899.4219653179191"/>
  </r>
  <r>
    <x v="151"/>
    <x v="211"/>
    <n v="4874.5664739884396"/>
  </r>
  <r>
    <x v="151"/>
    <x v="212"/>
    <n v="2910.115606936416"/>
  </r>
  <r>
    <x v="18"/>
    <x v="24"/>
    <s v=""/>
  </r>
  <r>
    <x v="18"/>
    <x v="24"/>
    <s v=""/>
  </r>
  <r>
    <x v="18"/>
    <x v="24"/>
    <s v=""/>
  </r>
  <r>
    <x v="152"/>
    <x v="52"/>
    <n v="3230.057803468208"/>
  </r>
  <r>
    <x v="18"/>
    <x v="2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U2:AV157" firstHeaderRow="2" firstDataRow="2" firstDataCol="1"/>
  <pivotFields count="3">
    <pivotField axis="axisRow" compact="0" outline="0" showAll="0">
      <items count="154">
        <item x="0"/>
        <item x="1"/>
        <item x="2"/>
        <item x="3"/>
        <item x="4"/>
        <item x="5"/>
        <item x="6"/>
        <item x="7"/>
        <item x="8"/>
        <item x="9"/>
        <item x="10"/>
        <item x="11"/>
        <item x="12"/>
        <item x="13"/>
        <item x="14"/>
        <item x="15"/>
        <item x="16"/>
        <item x="17"/>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8"/>
        <item t="default"/>
      </items>
    </pivotField>
    <pivotField compact="0" outline="0" showAll="0">
      <items count="214">
        <item x="24"/>
        <item x="16"/>
        <item x="91"/>
        <item x="23"/>
        <item x="0"/>
        <item x="1"/>
        <item x="2"/>
        <item x="62"/>
        <item x="147"/>
        <item x="3"/>
        <item x="4"/>
        <item x="5"/>
        <item x="8"/>
        <item x="7"/>
        <item x="9"/>
        <item x="10"/>
        <item x="11"/>
        <item x="13"/>
        <item x="15"/>
        <item x="14"/>
        <item x="17"/>
        <item x="18"/>
        <item x="19"/>
        <item x="20"/>
        <item x="25"/>
        <item x="26"/>
        <item x="27"/>
        <item x="29"/>
        <item x="177"/>
        <item x="90"/>
        <item x="61"/>
        <item x="204"/>
        <item x="119"/>
        <item x="22"/>
        <item x="103"/>
        <item x="34"/>
        <item x="203"/>
        <item x="139"/>
        <item x="38"/>
        <item x="202"/>
        <item x="39"/>
        <item x="40"/>
        <item x="41"/>
        <item x="89"/>
        <item x="49"/>
        <item x="12"/>
        <item x="50"/>
        <item x="37"/>
        <item x="51"/>
        <item x="79"/>
        <item x="102"/>
        <item x="109"/>
        <item x="53"/>
        <item x="176"/>
        <item x="187"/>
        <item x="56"/>
        <item x="31"/>
        <item x="57"/>
        <item x="46"/>
        <item x="72"/>
        <item x="101"/>
        <item x="63"/>
        <item x="64"/>
        <item x="130"/>
        <item x="95"/>
        <item x="100"/>
        <item x="65"/>
        <item x="186"/>
        <item x="66"/>
        <item x="137"/>
        <item x="67"/>
        <item x="45"/>
        <item x="73"/>
        <item x="136"/>
        <item x="74"/>
        <item x="75"/>
        <item x="55"/>
        <item x="76"/>
        <item x="77"/>
        <item x="78"/>
        <item x="156"/>
        <item x="54"/>
        <item x="80"/>
        <item x="201"/>
        <item x="81"/>
        <item x="92"/>
        <item x="180"/>
        <item x="82"/>
        <item x="83"/>
        <item x="35"/>
        <item x="93"/>
        <item x="96"/>
        <item x="97"/>
        <item x="99"/>
        <item x="106"/>
        <item x="105"/>
        <item x="104"/>
        <item x="107"/>
        <item x="110"/>
        <item x="114"/>
        <item x="113"/>
        <item x="115"/>
        <item x="116"/>
        <item x="146"/>
        <item x="120"/>
        <item x="121"/>
        <item x="60"/>
        <item x="21"/>
        <item x="138"/>
        <item x="145"/>
        <item x="200"/>
        <item x="124"/>
        <item x="123"/>
        <item x="125"/>
        <item x="153"/>
        <item x="44"/>
        <item x="36"/>
        <item x="59"/>
        <item x="71"/>
        <item x="131"/>
        <item x="70"/>
        <item x="94"/>
        <item x="132"/>
        <item x="118"/>
        <item x="129"/>
        <item x="133"/>
        <item x="175"/>
        <item x="134"/>
        <item x="185"/>
        <item x="48"/>
        <item x="140"/>
        <item x="128"/>
        <item x="141"/>
        <item x="144"/>
        <item x="143"/>
        <item x="148"/>
        <item x="150"/>
        <item x="151"/>
        <item x="154"/>
        <item x="212"/>
        <item x="155"/>
        <item x="157"/>
        <item x="142"/>
        <item x="158"/>
        <item x="6"/>
        <item x="135"/>
        <item x="161"/>
        <item x="162"/>
        <item x="163"/>
        <item x="164"/>
        <item x="165"/>
        <item x="30"/>
        <item x="47"/>
        <item x="174"/>
        <item x="69"/>
        <item x="166"/>
        <item x="88"/>
        <item x="112"/>
        <item x="117"/>
        <item x="127"/>
        <item x="152"/>
        <item x="160"/>
        <item x="122"/>
        <item x="167"/>
        <item x="199"/>
        <item x="111"/>
        <item x="211"/>
        <item x="168"/>
        <item x="169"/>
        <item x="42"/>
        <item x="159"/>
        <item x="170"/>
        <item x="171"/>
        <item x="173"/>
        <item x="178"/>
        <item x="172"/>
        <item x="181"/>
        <item x="184"/>
        <item x="183"/>
        <item x="188"/>
        <item x="87"/>
        <item x="149"/>
        <item x="43"/>
        <item x="189"/>
        <item x="86"/>
        <item x="190"/>
        <item x="191"/>
        <item x="192"/>
        <item x="52"/>
        <item x="33"/>
        <item x="193"/>
        <item x="194"/>
        <item x="195"/>
        <item x="196"/>
        <item x="197"/>
        <item x="198"/>
        <item x="32"/>
        <item x="58"/>
        <item x="68"/>
        <item x="85"/>
        <item x="98"/>
        <item x="108"/>
        <item x="84"/>
        <item x="126"/>
        <item x="179"/>
        <item x="205"/>
        <item x="206"/>
        <item x="182"/>
        <item x="207"/>
        <item x="208"/>
        <item x="209"/>
        <item x="210"/>
        <item x="28"/>
        <item t="default"/>
      </items>
    </pivotField>
    <pivotField dataField="1" compact="0" outline="0" showAll="0"/>
  </pivotFields>
  <rowFields count="1">
    <field x="0"/>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t="grand">
      <x/>
    </i>
  </rowItems>
  <colItems count="1">
    <i/>
  </colItems>
  <dataFields count="1">
    <dataField name="Sum of £1bn" fld="2" baseField="0" baseItem="2" numFmtId="173"/>
  </dataFields>
  <formats count="2">
    <format dxfId="1">
      <pivotArea outline="0" collapsedLevelsAreSubtotals="1"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election activeCell="Q3" sqref="Q3"/>
    </sheetView>
  </sheetViews>
  <sheetFormatPr defaultColWidth="9.109375" defaultRowHeight="14.4"/>
  <cols>
    <col min="1" max="16384" width="9.109375" style="126"/>
  </cols>
  <sheetData>
    <row r="1" spans="1:1">
      <c r="A1" s="226"/>
    </row>
  </sheetData>
  <sheetProtection password="DABD" sheet="1" objects="1" scenarios="1" formatColumns="0" formatRows="0" autoFilter="0"/>
  <pageMargins left="0.7" right="0.7" top="0.75" bottom="0.75"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P60"/>
  <sheetViews>
    <sheetView tabSelected="1" zoomScale="87" zoomScaleNormal="87" workbookViewId="0">
      <pane ySplit="4" topLeftCell="A42" activePane="bottomLeft" state="frozen"/>
      <selection pane="bottomLeft" activeCell="D52" sqref="D52"/>
    </sheetView>
  </sheetViews>
  <sheetFormatPr defaultColWidth="9.109375" defaultRowHeight="15.05"/>
  <cols>
    <col min="1" max="1" width="51" style="135" customWidth="1"/>
    <col min="2" max="2" width="15.5546875" style="135" customWidth="1"/>
    <col min="3" max="3" width="22.109375" style="135" customWidth="1"/>
    <col min="4" max="4" width="18.88671875" style="135" customWidth="1"/>
    <col min="5" max="5" width="19" style="135" customWidth="1"/>
    <col min="6" max="6" width="18" style="135" customWidth="1"/>
    <col min="7" max="8" width="18.109375" style="135" customWidth="1"/>
    <col min="9" max="9" width="21.33203125" style="135" customWidth="1"/>
    <col min="10" max="10" width="20.6640625" style="135" customWidth="1"/>
    <col min="11" max="12" width="18.109375" style="135" customWidth="1"/>
    <col min="13" max="13" width="19.33203125" style="135" customWidth="1"/>
    <col min="14" max="14" width="20.109375" style="135" customWidth="1"/>
    <col min="15" max="15" width="6.33203125" style="135" customWidth="1"/>
    <col min="16" max="16" width="11.109375" style="135" customWidth="1"/>
    <col min="17" max="17" width="13.5546875" style="135" customWidth="1"/>
    <col min="18" max="18" width="13.33203125" style="135" customWidth="1"/>
    <col min="19" max="19" width="13.109375" style="135" customWidth="1"/>
    <col min="20" max="20" width="16.6640625" style="135" customWidth="1"/>
    <col min="21" max="21" width="13.6640625" style="135" customWidth="1"/>
    <col min="22" max="16384" width="9.109375" style="135"/>
  </cols>
  <sheetData>
    <row r="1" spans="1:20" ht="25.55" customHeight="1" thickBot="1">
      <c r="A1" s="133" t="str">
        <f>'1. HWB Funding Sources'!A4</f>
        <v>Leicester</v>
      </c>
      <c r="B1" s="134"/>
      <c r="D1" s="223"/>
      <c r="I1" s="224" t="s">
        <v>1153</v>
      </c>
    </row>
    <row r="2" spans="1:20" ht="14.25" customHeight="1" thickBot="1">
      <c r="A2" s="136"/>
      <c r="B2" s="136"/>
      <c r="H2" s="137"/>
      <c r="I2" s="139" t="s">
        <v>967</v>
      </c>
    </row>
    <row r="3" spans="1:20" ht="14.25" customHeight="1" thickBot="1">
      <c r="A3" s="824" t="s">
        <v>1491</v>
      </c>
      <c r="B3" s="824"/>
      <c r="C3" s="824"/>
      <c r="D3" s="824"/>
      <c r="E3" s="824"/>
      <c r="F3" s="824"/>
      <c r="H3" s="140"/>
      <c r="I3" s="139" t="s">
        <v>965</v>
      </c>
    </row>
    <row r="4" spans="1:20" ht="15.75" customHeight="1">
      <c r="A4" s="824"/>
      <c r="B4" s="824"/>
      <c r="C4" s="824"/>
      <c r="D4" s="824"/>
      <c r="E4" s="824"/>
      <c r="F4" s="824"/>
      <c r="H4" s="141"/>
      <c r="I4" s="138"/>
    </row>
    <row r="5" spans="1:20" s="138" customFormat="1" ht="18.350000000000001" thickBot="1">
      <c r="A5" s="142" t="s">
        <v>805</v>
      </c>
      <c r="B5" s="143"/>
      <c r="C5" s="144"/>
      <c r="D5" s="145"/>
    </row>
    <row r="6" spans="1:20" s="138" customFormat="1" ht="21.8" customHeight="1">
      <c r="A6" s="859" t="s">
        <v>806</v>
      </c>
      <c r="B6" s="861"/>
      <c r="C6" s="879" t="s">
        <v>1266</v>
      </c>
      <c r="D6" s="883" t="s">
        <v>807</v>
      </c>
      <c r="E6" s="879" t="s">
        <v>808</v>
      </c>
    </row>
    <row r="7" spans="1:20" s="138" customFormat="1" ht="16.55" customHeight="1" thickBot="1">
      <c r="A7" s="887"/>
      <c r="B7" s="888"/>
      <c r="C7" s="889"/>
      <c r="D7" s="884"/>
      <c r="E7" s="880"/>
      <c r="G7" s="877" t="s">
        <v>968</v>
      </c>
    </row>
    <row r="8" spans="1:20" s="138" customFormat="1" ht="15.75" customHeight="1" thickBot="1">
      <c r="A8" s="826" t="s">
        <v>809</v>
      </c>
      <c r="B8" s="146" t="s">
        <v>1179</v>
      </c>
      <c r="C8" s="306">
        <f>VLOOKUP($A$1,Data!$D$5:$Z$156,12,0)</f>
        <v>764.2</v>
      </c>
      <c r="D8" s="306">
        <f>D9/D10*100000</f>
        <v>709.96858008692789</v>
      </c>
      <c r="E8" s="306">
        <f>E9/E10*100000</f>
        <v>671.37354224289788</v>
      </c>
      <c r="G8" s="877"/>
      <c r="H8" s="147"/>
      <c r="I8" s="620"/>
      <c r="J8" s="620"/>
      <c r="K8" s="620"/>
      <c r="L8" s="568"/>
      <c r="M8" s="568"/>
      <c r="N8" s="568"/>
      <c r="O8" s="568"/>
      <c r="P8" s="568"/>
      <c r="Q8" s="568"/>
      <c r="R8" s="568"/>
      <c r="S8" s="568"/>
      <c r="T8" s="569"/>
    </row>
    <row r="9" spans="1:20" s="138" customFormat="1" ht="15.75" customHeight="1">
      <c r="A9" s="827"/>
      <c r="B9" s="148" t="s">
        <v>811</v>
      </c>
      <c r="C9" s="149">
        <f>VLOOKUP($A$1,Data!$D$5:$Z$156,4,0)</f>
        <v>290</v>
      </c>
      <c r="D9" s="5">
        <v>280</v>
      </c>
      <c r="E9" s="6">
        <v>270</v>
      </c>
      <c r="G9" s="877"/>
      <c r="H9" s="145"/>
    </row>
    <row r="10" spans="1:20" s="138" customFormat="1" ht="15.75" customHeight="1" thickBot="1">
      <c r="A10" s="828"/>
      <c r="B10" s="150" t="s">
        <v>812</v>
      </c>
      <c r="C10" s="151">
        <f>VLOOKUP($A$1,Data!$D$5:$Z$156,6,0)</f>
        <v>38080</v>
      </c>
      <c r="D10" s="151">
        <f>VLOOKUP($A$1,Data!$D$5:$Z$156,8,0)</f>
        <v>39438.365000000013</v>
      </c>
      <c r="E10" s="152">
        <f>VLOOKUP($A$1,Data!$D$5:$Z$156,9,0)</f>
        <v>40216.061999999998</v>
      </c>
    </row>
    <row r="11" spans="1:20" s="145" customFormat="1" ht="34.549999999999997" customHeight="1">
      <c r="A11" s="153"/>
      <c r="B11" s="154"/>
      <c r="C11" s="155" t="s">
        <v>1838</v>
      </c>
      <c r="D11" s="173">
        <f>IF(D9=0,0,D9-C9)</f>
        <v>-10</v>
      </c>
      <c r="E11" s="156">
        <f>IF(E9=0,0,E9-D9)</f>
        <v>-10</v>
      </c>
      <c r="F11" s="157"/>
      <c r="G11" s="157"/>
    </row>
    <row r="12" spans="1:20" s="145" customFormat="1" ht="34.549999999999997" customHeight="1">
      <c r="A12" s="153"/>
      <c r="B12" s="158"/>
      <c r="C12" s="160" t="s">
        <v>1839</v>
      </c>
      <c r="D12" s="575">
        <f>IF(D9=0,0,D9/C9-1)</f>
        <v>-3.4482758620689613E-2</v>
      </c>
      <c r="E12" s="575">
        <f>IF(E9=0,0,E9/D9-1)</f>
        <v>-3.5714285714285698E-2</v>
      </c>
      <c r="F12" s="157"/>
      <c r="G12" s="161"/>
    </row>
    <row r="13" spans="1:20" s="145" customFormat="1" ht="15.75" hidden="1" customHeight="1" thickBot="1">
      <c r="A13" s="162"/>
      <c r="B13" s="158"/>
      <c r="C13" s="160" t="s">
        <v>966</v>
      </c>
      <c r="D13" s="159">
        <f>ROUND((-D11*G13),-3)</f>
        <v>260000</v>
      </c>
      <c r="E13" s="159">
        <f>ROUND((-E11*G13),-3)</f>
        <v>260000</v>
      </c>
      <c r="F13" s="157"/>
      <c r="G13" s="128">
        <v>25950</v>
      </c>
      <c r="H13" s="138" t="s">
        <v>1141</v>
      </c>
    </row>
    <row r="14" spans="1:20" s="145" customFormat="1" ht="15.05" customHeight="1">
      <c r="A14" s="162"/>
      <c r="B14" s="158"/>
      <c r="C14" s="163"/>
      <c r="D14" s="159"/>
      <c r="E14" s="159"/>
      <c r="F14" s="157"/>
      <c r="G14" s="157"/>
    </row>
    <row r="15" spans="1:20" s="145" customFormat="1" ht="15.05" customHeight="1" thickBot="1">
      <c r="A15" s="142" t="s">
        <v>813</v>
      </c>
      <c r="B15" s="158"/>
      <c r="C15" s="157"/>
      <c r="D15" s="164"/>
      <c r="E15" s="165"/>
      <c r="F15" s="165"/>
      <c r="G15" s="157"/>
      <c r="H15" s="157"/>
    </row>
    <row r="16" spans="1:20" s="145" customFormat="1" ht="22.6" customHeight="1">
      <c r="A16" s="859" t="s">
        <v>806</v>
      </c>
      <c r="B16" s="861"/>
      <c r="C16" s="879" t="s">
        <v>1266</v>
      </c>
      <c r="D16" s="879" t="s">
        <v>807</v>
      </c>
      <c r="E16" s="879" t="s">
        <v>808</v>
      </c>
      <c r="F16" s="157"/>
      <c r="G16" s="157"/>
    </row>
    <row r="17" spans="1:42" s="145" customFormat="1" ht="15.75" customHeight="1" thickBot="1">
      <c r="A17" s="885"/>
      <c r="B17" s="886"/>
      <c r="C17" s="880"/>
      <c r="D17" s="884"/>
      <c r="E17" s="880"/>
      <c r="F17" s="157"/>
    </row>
    <row r="18" spans="1:42" s="138" customFormat="1" ht="17.2" customHeight="1" thickBot="1">
      <c r="A18" s="826" t="s">
        <v>814</v>
      </c>
      <c r="B18" s="166" t="s">
        <v>1180</v>
      </c>
      <c r="C18" s="307">
        <f>VLOOKUP($A$1,Data!$Q$5:$AB$156,10,0)</f>
        <v>87</v>
      </c>
      <c r="D18" s="306">
        <f>IF(ISERROR(D19/D20*100),0,D19/D20*100)</f>
        <v>88.84615384615384</v>
      </c>
      <c r="E18" s="306">
        <f>IF(ISERROR(E19/E20*100),0,E19/E20*100)</f>
        <v>90</v>
      </c>
      <c r="F18" s="167"/>
      <c r="G18" s="877" t="s">
        <v>968</v>
      </c>
      <c r="H18" s="147"/>
      <c r="I18" s="620"/>
      <c r="J18" s="620"/>
      <c r="K18" s="620"/>
      <c r="L18" s="568"/>
      <c r="M18" s="568"/>
      <c r="N18" s="568"/>
      <c r="O18" s="568"/>
      <c r="P18" s="568"/>
      <c r="Q18" s="568"/>
      <c r="R18" s="568"/>
      <c r="S18" s="568"/>
      <c r="T18" s="569"/>
    </row>
    <row r="19" spans="1:42" s="138" customFormat="1" ht="17.2" customHeight="1" thickBot="1">
      <c r="A19" s="827"/>
      <c r="B19" s="168" t="s">
        <v>811</v>
      </c>
      <c r="C19" s="169">
        <f>VLOOKUP($A$1,Data!$Q$5:$AB$156,4,0)</f>
        <v>200</v>
      </c>
      <c r="D19" s="7">
        <v>231</v>
      </c>
      <c r="E19" s="8">
        <v>252</v>
      </c>
      <c r="F19" s="170"/>
      <c r="G19" s="877"/>
    </row>
    <row r="20" spans="1:42" s="138" customFormat="1" ht="17.2" customHeight="1" thickBot="1">
      <c r="A20" s="828"/>
      <c r="B20" s="171" t="s">
        <v>812</v>
      </c>
      <c r="C20" s="172">
        <f>VLOOKUP($A$1,Data!$Q$5:$AB$156,7,0)</f>
        <v>230</v>
      </c>
      <c r="D20" s="132">
        <v>260</v>
      </c>
      <c r="E20" s="131">
        <v>280</v>
      </c>
      <c r="F20" s="170"/>
      <c r="G20" s="877"/>
      <c r="H20" s="147"/>
      <c r="I20" s="620"/>
      <c r="J20" s="620"/>
      <c r="K20" s="620"/>
      <c r="L20" s="568"/>
      <c r="M20" s="568"/>
      <c r="N20" s="568"/>
      <c r="O20" s="568"/>
      <c r="P20" s="568"/>
      <c r="Q20" s="568"/>
      <c r="R20" s="568"/>
      <c r="S20" s="568"/>
      <c r="T20" s="569"/>
    </row>
    <row r="21" spans="1:42" s="138" customFormat="1" ht="34.549999999999997" customHeight="1">
      <c r="A21" s="153"/>
      <c r="B21" s="154"/>
      <c r="C21" s="155" t="s">
        <v>1840</v>
      </c>
      <c r="D21" s="745">
        <f>IF(D19=0,0,D18-C18)</f>
        <v>1.8461538461538396</v>
      </c>
      <c r="E21" s="745">
        <f>IF(E19=0,0,E18-D18)</f>
        <v>1.1538461538461604</v>
      </c>
      <c r="F21" s="145"/>
      <c r="G21" s="145"/>
    </row>
    <row r="22" spans="1:42" s="138" customFormat="1" ht="34.549999999999997" customHeight="1">
      <c r="A22" s="153"/>
      <c r="B22" s="158"/>
      <c r="C22" s="160" t="s">
        <v>1841</v>
      </c>
      <c r="D22" s="575">
        <f>IF(D19=0,0,D18/C18-1)</f>
        <v>2.1220159151193574E-2</v>
      </c>
      <c r="E22" s="575">
        <f>IF(E19=0,0,E18/D18-1)</f>
        <v>1.2987012987013102E-2</v>
      </c>
      <c r="G22" s="161"/>
      <c r="H22" s="145"/>
    </row>
    <row r="23" spans="1:42" s="138" customFormat="1" ht="17.2" hidden="1" customHeight="1" thickBot="1">
      <c r="A23" s="158"/>
      <c r="B23" s="158"/>
      <c r="C23" s="160" t="s">
        <v>966</v>
      </c>
      <c r="D23" s="159">
        <f>ROUND(D21*G23,-3)</f>
        <v>0</v>
      </c>
      <c r="E23" s="159">
        <f>ROUND(E21*G23,-3)</f>
        <v>0</v>
      </c>
      <c r="G23" s="128"/>
      <c r="H23" s="138" t="s">
        <v>1193</v>
      </c>
    </row>
    <row r="24" spans="1:42" s="138" customFormat="1" ht="14.4">
      <c r="A24" s="158"/>
      <c r="B24" s="158"/>
      <c r="C24" s="158"/>
      <c r="D24" s="174"/>
      <c r="E24" s="175"/>
      <c r="F24" s="176"/>
    </row>
    <row r="25" spans="1:42" s="138" customFormat="1" ht="22.6" customHeight="1" thickBot="1">
      <c r="A25" s="177" t="s">
        <v>815</v>
      </c>
      <c r="C25" s="158"/>
      <c r="D25" s="174"/>
      <c r="E25" s="175"/>
      <c r="F25" s="158"/>
    </row>
    <row r="26" spans="1:42" s="138" customFormat="1" ht="14.4">
      <c r="A26" s="834" t="s">
        <v>806</v>
      </c>
      <c r="B26" s="865"/>
      <c r="C26" s="859" t="s">
        <v>816</v>
      </c>
      <c r="D26" s="860"/>
      <c r="E26" s="860"/>
      <c r="F26" s="860"/>
      <c r="G26" s="859" t="s">
        <v>817</v>
      </c>
      <c r="H26" s="860"/>
      <c r="I26" s="860"/>
      <c r="J26" s="861"/>
      <c r="K26" s="859" t="s">
        <v>818</v>
      </c>
      <c r="L26" s="860"/>
      <c r="M26" s="860"/>
      <c r="N26" s="861"/>
      <c r="O26" s="178"/>
    </row>
    <row r="27" spans="1:42" s="138" customFormat="1" ht="22.6" customHeight="1">
      <c r="A27" s="836"/>
      <c r="B27" s="866"/>
      <c r="C27" s="875" t="s">
        <v>819</v>
      </c>
      <c r="D27" s="873" t="s">
        <v>820</v>
      </c>
      <c r="E27" s="873" t="s">
        <v>821</v>
      </c>
      <c r="F27" s="881" t="s">
        <v>822</v>
      </c>
      <c r="G27" s="875" t="s">
        <v>823</v>
      </c>
      <c r="H27" s="873" t="s">
        <v>824</v>
      </c>
      <c r="I27" s="873" t="s">
        <v>825</v>
      </c>
      <c r="J27" s="881" t="s">
        <v>826</v>
      </c>
      <c r="K27" s="875" t="s">
        <v>827</v>
      </c>
      <c r="L27" s="873" t="s">
        <v>828</v>
      </c>
      <c r="M27" s="873" t="s">
        <v>829</v>
      </c>
      <c r="N27" s="881" t="s">
        <v>830</v>
      </c>
      <c r="O27" s="178"/>
      <c r="P27" s="179"/>
      <c r="Q27" s="404"/>
    </row>
    <row r="28" spans="1:42" s="138" customFormat="1" ht="16.55" customHeight="1" thickBot="1">
      <c r="A28" s="838"/>
      <c r="B28" s="878"/>
      <c r="C28" s="876"/>
      <c r="D28" s="874"/>
      <c r="E28" s="874"/>
      <c r="F28" s="882"/>
      <c r="G28" s="876"/>
      <c r="H28" s="874"/>
      <c r="I28" s="874"/>
      <c r="J28" s="882"/>
      <c r="K28" s="876"/>
      <c r="L28" s="874"/>
      <c r="M28" s="874"/>
      <c r="N28" s="882"/>
      <c r="O28" s="158"/>
      <c r="P28" s="145"/>
      <c r="Q28" s="877" t="s">
        <v>969</v>
      </c>
      <c r="R28" s="179"/>
      <c r="S28" s="179"/>
      <c r="T28" s="179"/>
      <c r="U28" s="179"/>
      <c r="V28" s="145"/>
      <c r="W28" s="145"/>
      <c r="X28" s="145"/>
      <c r="Y28" s="145"/>
      <c r="Z28" s="145"/>
      <c r="AA28" s="145"/>
      <c r="AB28" s="145"/>
      <c r="AC28" s="145"/>
      <c r="AD28" s="145"/>
      <c r="AE28" s="145"/>
      <c r="AF28" s="145"/>
      <c r="AG28" s="145"/>
      <c r="AH28" s="145"/>
      <c r="AI28" s="145"/>
      <c r="AJ28" s="145"/>
      <c r="AK28" s="145"/>
      <c r="AL28" s="145"/>
      <c r="AM28" s="145"/>
      <c r="AN28" s="145"/>
      <c r="AO28" s="145"/>
      <c r="AP28" s="145"/>
    </row>
    <row r="29" spans="1:42" s="138" customFormat="1" ht="16.55" customHeight="1" thickBot="1">
      <c r="A29" s="826" t="s">
        <v>1181</v>
      </c>
      <c r="B29" s="180" t="s">
        <v>1336</v>
      </c>
      <c r="C29" s="308">
        <f t="shared" ref="C29:N29" si="0">C30/C31*100000</f>
        <v>1391.138862238719</v>
      </c>
      <c r="D29" s="308">
        <f t="shared" si="0"/>
        <v>1469.3855082493199</v>
      </c>
      <c r="E29" s="308">
        <f t="shared" si="0"/>
        <v>1178.4180808732167</v>
      </c>
      <c r="F29" s="309">
        <f t="shared" si="0"/>
        <v>1348.5428350458967</v>
      </c>
      <c r="G29" s="310">
        <f t="shared" si="0"/>
        <v>1211.1117180985441</v>
      </c>
      <c r="H29" s="308">
        <f t="shared" si="0"/>
        <v>1364.8550774107723</v>
      </c>
      <c r="I29" s="308">
        <f t="shared" si="0"/>
        <v>1094.5867452502234</v>
      </c>
      <c r="J29" s="311">
        <f t="shared" si="0"/>
        <v>1253.3495609780969</v>
      </c>
      <c r="K29" s="310">
        <f t="shared" si="0"/>
        <v>1167.6033877985144</v>
      </c>
      <c r="L29" s="308">
        <f t="shared" si="0"/>
        <v>1314.8533147202256</v>
      </c>
      <c r="M29" s="308">
        <f t="shared" si="0"/>
        <v>1054.4863217063198</v>
      </c>
      <c r="N29" s="311">
        <f t="shared" si="0"/>
        <v>1208.0531188739153</v>
      </c>
      <c r="O29" s="181"/>
      <c r="P29" s="145"/>
      <c r="Q29" s="877"/>
      <c r="R29" s="182"/>
      <c r="S29" s="568"/>
      <c r="T29" s="568"/>
      <c r="U29" s="568"/>
      <c r="V29" s="568"/>
      <c r="W29" s="568"/>
      <c r="X29" s="568"/>
      <c r="Y29" s="568"/>
      <c r="Z29" s="568"/>
      <c r="AA29" s="568"/>
      <c r="AB29" s="568"/>
      <c r="AC29" s="568"/>
      <c r="AD29" s="568"/>
      <c r="AE29" s="568"/>
      <c r="AF29" s="568"/>
      <c r="AG29" s="568"/>
      <c r="AH29" s="568"/>
      <c r="AI29" s="568"/>
      <c r="AJ29" s="568"/>
      <c r="AK29" s="568"/>
      <c r="AL29" s="569"/>
    </row>
    <row r="30" spans="1:42" s="138" customFormat="1" ht="16.55" customHeight="1">
      <c r="A30" s="827"/>
      <c r="B30" s="183" t="s">
        <v>811</v>
      </c>
      <c r="C30" s="184">
        <f>VLOOKUP($A$1,Data!$AC$5:$CL$156,46,0)</f>
        <v>3538</v>
      </c>
      <c r="D30" s="184">
        <f>VLOOKUP($A$1,Data!$AC$5:$CL$156,47,0)</f>
        <v>3737</v>
      </c>
      <c r="E30" s="184">
        <f>VLOOKUP($A$1,Data!$AC$5:$CL$156,48,0)</f>
        <v>2997</v>
      </c>
      <c r="F30" s="185">
        <f>VLOOKUP($A$1,Data!$AC$5:$CL$156,49,0)</f>
        <v>3454</v>
      </c>
      <c r="G30" s="9">
        <v>3102</v>
      </c>
      <c r="H30" s="10">
        <v>3495.7802710185047</v>
      </c>
      <c r="I30" s="10">
        <v>2803.546553985138</v>
      </c>
      <c r="J30" s="11">
        <v>3231.0476468016905</v>
      </c>
      <c r="K30" s="9">
        <v>3010</v>
      </c>
      <c r="L30" s="10">
        <v>3389.6000291417745</v>
      </c>
      <c r="M30" s="10">
        <v>2718.3921025790473</v>
      </c>
      <c r="N30" s="11">
        <v>3132.9083491184615</v>
      </c>
      <c r="O30" s="186"/>
      <c r="P30" s="145"/>
      <c r="Q30" s="877"/>
    </row>
    <row r="31" spans="1:42" s="138" customFormat="1" ht="16.55" customHeight="1" thickBot="1">
      <c r="A31" s="828"/>
      <c r="B31" s="187" t="s">
        <v>812</v>
      </c>
      <c r="C31" s="188">
        <f>VLOOKUP($A$1,Data!$AC$5:$CL$156,59,0)</f>
        <v>254324</v>
      </c>
      <c r="D31" s="188">
        <f>VLOOKUP($A$1,Data!$AC$5:$CL$156,59,0)</f>
        <v>254324</v>
      </c>
      <c r="E31" s="188">
        <f>VLOOKUP($A$1,Data!$AC$5:$CL$156,59,0)</f>
        <v>254324</v>
      </c>
      <c r="F31" s="189">
        <f>VLOOKUP($A$1,Data!$AC$5:$CL$156,60,0)</f>
        <v>256128.31200000003</v>
      </c>
      <c r="G31" s="190">
        <f>VLOOKUP($A$1,Data!$AC$5:$CL$156,60,0)</f>
        <v>256128.31200000003</v>
      </c>
      <c r="H31" s="188">
        <f>VLOOKUP($A$1,Data!$AC$5:$CL$156,60,0)</f>
        <v>256128.31200000003</v>
      </c>
      <c r="I31" s="188">
        <f>VLOOKUP($A$1,Data!$AC$5:$CL$156,60,0)</f>
        <v>256128.31200000003</v>
      </c>
      <c r="J31" s="191">
        <f>VLOOKUP($A$1,Data!$AC$5:$CL$156,61,0)</f>
        <v>257793.01699999999</v>
      </c>
      <c r="K31" s="190">
        <f>VLOOKUP($A$1,Data!$AC$5:$CL$156,61,0)</f>
        <v>257793.01699999999</v>
      </c>
      <c r="L31" s="188">
        <f>VLOOKUP($A$1,Data!$AC$5:$CL$156,61,0)</f>
        <v>257793.01699999999</v>
      </c>
      <c r="M31" s="188">
        <f>VLOOKUP($A$1,Data!$AC$5:$CL$156,61,0)</f>
        <v>257793.01699999999</v>
      </c>
      <c r="N31" s="191">
        <f>VLOOKUP($A$1,Data!$AC$5:$CL$156,62,0)</f>
        <v>259335.31399999998</v>
      </c>
      <c r="O31" s="192"/>
      <c r="P31" s="145"/>
    </row>
    <row r="32" spans="1:42" s="145" customFormat="1" ht="34.549999999999997" customHeight="1">
      <c r="A32" s="153"/>
      <c r="B32" s="158"/>
      <c r="C32" s="193"/>
      <c r="D32" s="193"/>
      <c r="E32" s="193"/>
      <c r="F32" s="193"/>
      <c r="G32" s="194"/>
      <c r="H32" s="194"/>
      <c r="I32" s="195" t="s">
        <v>1838</v>
      </c>
      <c r="J32" s="196">
        <f>IF(SUM(G30:J30)=0,0,SUM(G30:J30)-SUM(C30:F30))</f>
        <v>-1093.6255281946687</v>
      </c>
      <c r="K32" s="194"/>
      <c r="L32" s="194"/>
      <c r="M32" s="195" t="s">
        <v>1838</v>
      </c>
      <c r="N32" s="196">
        <f>IF(SUM(K30:N30)=0,0,SUM(K30:N30)-SUM(G30:J30))</f>
        <v>-381.4739909660475</v>
      </c>
    </row>
    <row r="33" spans="1:17" s="145" customFormat="1" ht="34.549999999999997" customHeight="1">
      <c r="A33" s="153"/>
      <c r="B33" s="158"/>
      <c r="C33" s="193"/>
      <c r="D33" s="193"/>
      <c r="E33" s="193"/>
      <c r="F33" s="193"/>
      <c r="G33" s="197"/>
      <c r="H33" s="197"/>
      <c r="I33" s="195" t="s">
        <v>1839</v>
      </c>
      <c r="J33" s="574">
        <f>IF(SUM(G30:J30)=0,0,(SUM(G30:J30)/SUM(C30:F30))-1)</f>
        <v>-7.9675471965224287E-2</v>
      </c>
      <c r="K33" s="197"/>
      <c r="L33" s="197"/>
      <c r="M33" s="195" t="s">
        <v>1839</v>
      </c>
      <c r="N33" s="574">
        <f>IF(SUM(K30:N30)=0,0,(SUM(K30:N30)/SUM(G30:J30))-1)</f>
        <v>-3.0198122436717934E-2</v>
      </c>
      <c r="P33" s="198"/>
    </row>
    <row r="34" spans="1:17" s="145" customFormat="1" ht="19.5" hidden="1" customHeight="1" thickBot="1">
      <c r="A34" s="162"/>
      <c r="B34" s="158"/>
      <c r="C34" s="193"/>
      <c r="D34" s="193"/>
      <c r="E34" s="193"/>
      <c r="F34" s="193"/>
      <c r="G34" s="197"/>
      <c r="H34" s="197"/>
      <c r="I34" s="195" t="s">
        <v>964</v>
      </c>
      <c r="J34" s="197">
        <f>ROUND(-J32*P34,-3)</f>
        <v>301000</v>
      </c>
      <c r="K34" s="197"/>
      <c r="L34" s="197"/>
      <c r="M34" s="195" t="s">
        <v>964</v>
      </c>
      <c r="N34" s="197">
        <f>ROUND(-N32*P34,-3)</f>
        <v>105000</v>
      </c>
      <c r="P34" s="129">
        <v>275</v>
      </c>
      <c r="Q34" s="211" t="s">
        <v>1142</v>
      </c>
    </row>
    <row r="35" spans="1:17" s="145" customFormat="1" ht="16.55" customHeight="1">
      <c r="A35" s="162"/>
      <c r="B35" s="158"/>
      <c r="C35" s="193"/>
      <c r="D35" s="193"/>
      <c r="E35" s="193"/>
      <c r="F35" s="193"/>
      <c r="G35" s="197"/>
      <c r="H35" s="197"/>
      <c r="I35" s="197"/>
      <c r="J35" s="197"/>
      <c r="K35" s="197"/>
      <c r="L35" s="197"/>
      <c r="M35" s="197"/>
      <c r="N35" s="197"/>
      <c r="P35" s="161"/>
      <c r="Q35" s="138"/>
    </row>
    <row r="36" spans="1:17" ht="17.2" customHeight="1" thickBot="1">
      <c r="A36" s="497" t="s">
        <v>1292</v>
      </c>
      <c r="B36" s="158"/>
      <c r="C36" s="498"/>
      <c r="D36" s="175"/>
      <c r="E36" s="193"/>
      <c r="F36" s="193"/>
      <c r="G36" s="193"/>
      <c r="H36" s="197"/>
      <c r="I36" s="197"/>
      <c r="J36" s="197"/>
      <c r="K36" s="197"/>
      <c r="L36" s="197"/>
      <c r="M36" s="197"/>
      <c r="N36" s="197"/>
    </row>
    <row r="37" spans="1:17" ht="17.2" customHeight="1">
      <c r="A37" s="834" t="s">
        <v>806</v>
      </c>
      <c r="B37" s="865"/>
      <c r="C37" s="201" t="s">
        <v>833</v>
      </c>
      <c r="D37" s="879" t="s">
        <v>1337</v>
      </c>
      <c r="E37" s="879" t="s">
        <v>808</v>
      </c>
      <c r="F37" s="193"/>
      <c r="G37" s="193"/>
      <c r="H37" s="197"/>
      <c r="I37" s="197"/>
      <c r="J37" s="138"/>
      <c r="K37" s="138"/>
      <c r="L37" s="138"/>
      <c r="M37" s="138"/>
      <c r="N37" s="138"/>
    </row>
    <row r="38" spans="1:17" ht="27.85" customHeight="1" thickBot="1">
      <c r="A38" s="838"/>
      <c r="B38" s="878"/>
      <c r="C38" s="130">
        <v>2013</v>
      </c>
      <c r="D38" s="880"/>
      <c r="E38" s="880"/>
      <c r="F38" s="193"/>
      <c r="G38" s="193"/>
      <c r="H38" s="197"/>
      <c r="I38" s="197"/>
      <c r="J38" s="138"/>
      <c r="K38" s="138"/>
      <c r="L38" s="138"/>
      <c r="M38" s="138"/>
      <c r="N38" s="138"/>
    </row>
    <row r="39" spans="1:17" ht="46.5" customHeight="1">
      <c r="A39" s="870" t="s">
        <v>1919</v>
      </c>
      <c r="B39" s="499" t="s">
        <v>810</v>
      </c>
      <c r="C39" s="500">
        <v>61.7</v>
      </c>
      <c r="D39" s="500">
        <v>62.7</v>
      </c>
      <c r="E39" s="500">
        <v>63.7</v>
      </c>
      <c r="F39" s="193"/>
      <c r="G39" s="193"/>
      <c r="H39" s="197"/>
      <c r="I39" s="197"/>
      <c r="J39" s="138"/>
      <c r="K39" s="138"/>
      <c r="L39" s="138"/>
      <c r="M39" s="138"/>
      <c r="N39" s="138"/>
    </row>
    <row r="40" spans="1:17" ht="38.950000000000003" customHeight="1">
      <c r="A40" s="871"/>
      <c r="B40" s="202" t="s">
        <v>811</v>
      </c>
      <c r="C40" s="215">
        <v>1456</v>
      </c>
      <c r="D40" s="215">
        <v>1505</v>
      </c>
      <c r="E40" s="215">
        <v>1593</v>
      </c>
      <c r="F40" s="193"/>
      <c r="G40" s="193"/>
      <c r="H40" s="197"/>
      <c r="I40" s="197"/>
      <c r="J40" s="138"/>
      <c r="K40" s="138"/>
      <c r="L40" s="138"/>
      <c r="M40" s="138"/>
      <c r="N40" s="138"/>
    </row>
    <row r="41" spans="1:17" ht="89.2" customHeight="1" thickBot="1">
      <c r="A41" s="872"/>
      <c r="B41" s="203" t="s">
        <v>812</v>
      </c>
      <c r="C41" s="215">
        <v>2357</v>
      </c>
      <c r="D41" s="215">
        <v>2400</v>
      </c>
      <c r="E41" s="215">
        <v>2500</v>
      </c>
      <c r="F41" s="193"/>
      <c r="G41" s="193"/>
      <c r="H41" s="197"/>
      <c r="I41" s="197"/>
      <c r="J41" s="138"/>
      <c r="K41" s="138"/>
      <c r="L41" s="138"/>
      <c r="M41" s="138"/>
      <c r="N41" s="138"/>
    </row>
    <row r="42" spans="1:17" ht="17.2" customHeight="1" thickBot="1">
      <c r="A42" s="567" t="s">
        <v>1340</v>
      </c>
      <c r="B42" s="621" t="s">
        <v>1338</v>
      </c>
      <c r="C42" s="158"/>
      <c r="D42" s="193"/>
      <c r="E42" s="193"/>
      <c r="F42" s="193"/>
      <c r="G42" s="193"/>
      <c r="H42" s="197"/>
      <c r="I42" s="197"/>
      <c r="J42" s="138"/>
      <c r="K42" s="138"/>
      <c r="L42" s="138"/>
      <c r="M42" s="138"/>
      <c r="N42" s="138"/>
    </row>
    <row r="43" spans="1:17">
      <c r="A43" s="162"/>
      <c r="B43" s="158"/>
      <c r="C43" s="193"/>
      <c r="D43" s="193"/>
      <c r="E43" s="193"/>
      <c r="F43" s="193"/>
      <c r="G43" s="197"/>
      <c r="H43" s="197"/>
      <c r="I43" s="197"/>
      <c r="J43" s="138"/>
      <c r="K43" s="138"/>
      <c r="L43" s="138"/>
      <c r="M43" s="138"/>
      <c r="N43" s="138"/>
    </row>
    <row r="44" spans="1:17">
      <c r="A44" s="162"/>
      <c r="B44" s="158"/>
      <c r="C44" s="193"/>
      <c r="D44" s="193"/>
      <c r="E44" s="193"/>
      <c r="F44" s="175"/>
      <c r="G44" s="138"/>
      <c r="H44" s="138"/>
      <c r="I44" s="138"/>
      <c r="J44" s="138"/>
      <c r="K44" s="138"/>
      <c r="L44" s="138"/>
      <c r="M44" s="138"/>
      <c r="N44" s="138"/>
    </row>
    <row r="45" spans="1:17" ht="17.2" customHeight="1" thickBot="1">
      <c r="A45" s="199" t="s">
        <v>832</v>
      </c>
      <c r="B45" s="158"/>
      <c r="C45" s="200"/>
      <c r="D45" s="175"/>
      <c r="E45" s="175"/>
      <c r="F45" s="138"/>
      <c r="G45" s="138"/>
      <c r="H45" s="138"/>
      <c r="I45" s="138"/>
      <c r="J45" s="138"/>
      <c r="K45" s="138"/>
      <c r="L45" s="138"/>
      <c r="M45" s="138"/>
      <c r="N45" s="138"/>
    </row>
    <row r="46" spans="1:17" ht="19.5" customHeight="1">
      <c r="A46" s="834" t="s">
        <v>806</v>
      </c>
      <c r="B46" s="865"/>
      <c r="C46" s="201" t="s">
        <v>833</v>
      </c>
      <c r="D46" s="879" t="s">
        <v>1337</v>
      </c>
      <c r="E46" s="879" t="s">
        <v>808</v>
      </c>
      <c r="F46" s="138"/>
      <c r="G46" s="138"/>
      <c r="H46" s="138"/>
      <c r="I46" s="138"/>
      <c r="J46" s="138"/>
      <c r="K46" s="138"/>
      <c r="L46" s="138"/>
      <c r="M46" s="138"/>
      <c r="N46" s="138"/>
    </row>
    <row r="47" spans="1:17" ht="30.8" customHeight="1" thickBot="1">
      <c r="A47" s="838"/>
      <c r="B47" s="878"/>
      <c r="C47" s="755">
        <v>41518</v>
      </c>
      <c r="D47" s="880"/>
      <c r="E47" s="880"/>
      <c r="F47" s="138"/>
      <c r="G47" s="138"/>
      <c r="H47" s="138"/>
      <c r="I47" s="138"/>
      <c r="J47" s="138"/>
      <c r="K47" s="138"/>
      <c r="L47" s="138"/>
      <c r="M47" s="138"/>
      <c r="N47" s="138"/>
    </row>
    <row r="48" spans="1:17" ht="31.6" customHeight="1">
      <c r="A48" s="870" t="s">
        <v>1918</v>
      </c>
      <c r="B48" s="166" t="s">
        <v>810</v>
      </c>
      <c r="C48" s="214">
        <f>C49/C50</f>
        <v>0.55100812518808306</v>
      </c>
      <c r="D48" s="214">
        <f t="shared" ref="D48:E48" si="1">D49/D50</f>
        <v>0.64988151658767768</v>
      </c>
      <c r="E48" s="214">
        <f t="shared" si="1"/>
        <v>0.6700879765395894</v>
      </c>
      <c r="F48" s="138"/>
      <c r="G48" s="138"/>
      <c r="H48" s="138"/>
      <c r="I48" s="138"/>
      <c r="J48" s="138"/>
      <c r="K48" s="138"/>
      <c r="L48" s="138"/>
      <c r="M48" s="138"/>
      <c r="N48" s="138"/>
    </row>
    <row r="49" spans="1:14" ht="19.5" customHeight="1">
      <c r="A49" s="871"/>
      <c r="B49" s="202" t="s">
        <v>811</v>
      </c>
      <c r="C49" s="215">
        <v>1831</v>
      </c>
      <c r="D49" s="215">
        <v>2194</v>
      </c>
      <c r="E49" s="215">
        <v>2285</v>
      </c>
      <c r="F49" s="138"/>
      <c r="G49" s="138"/>
      <c r="H49" s="138"/>
      <c r="I49" s="138"/>
      <c r="J49" s="138"/>
      <c r="K49" s="138"/>
      <c r="L49" s="138"/>
      <c r="M49" s="138"/>
      <c r="N49" s="138"/>
    </row>
    <row r="50" spans="1:14" ht="18.850000000000001" customHeight="1" thickBot="1">
      <c r="A50" s="872"/>
      <c r="B50" s="203" t="s">
        <v>812</v>
      </c>
      <c r="C50" s="216">
        <v>3323</v>
      </c>
      <c r="D50" s="217">
        <v>3376</v>
      </c>
      <c r="E50" s="217">
        <v>3410</v>
      </c>
      <c r="F50" s="175"/>
      <c r="G50" s="138"/>
      <c r="H50" s="138"/>
      <c r="I50" s="138"/>
    </row>
    <row r="51" spans="1:14" ht="15.75" thickBot="1">
      <c r="A51" s="567" t="s">
        <v>1340</v>
      </c>
      <c r="B51" s="621" t="s">
        <v>1338</v>
      </c>
      <c r="C51" s="200"/>
      <c r="D51" s="175"/>
      <c r="E51" s="175"/>
      <c r="F51" s="175"/>
      <c r="G51" s="138"/>
      <c r="H51" s="138"/>
      <c r="I51" s="138"/>
    </row>
    <row r="52" spans="1:14">
      <c r="A52" s="158"/>
      <c r="B52" s="158"/>
      <c r="C52" s="200"/>
      <c r="D52" s="175"/>
      <c r="E52" s="175"/>
      <c r="F52" s="138"/>
      <c r="G52" s="138"/>
      <c r="H52" s="138"/>
      <c r="I52" s="138"/>
    </row>
    <row r="53" spans="1:14">
      <c r="A53" s="138"/>
      <c r="B53" s="138"/>
      <c r="C53" s="138"/>
      <c r="D53" s="138"/>
      <c r="E53" s="138"/>
      <c r="F53" s="138"/>
      <c r="G53" s="138"/>
      <c r="H53" s="138"/>
      <c r="I53" s="138"/>
    </row>
    <row r="54" spans="1:14">
      <c r="A54" s="213" t="s">
        <v>1144</v>
      </c>
      <c r="B54" s="138"/>
      <c r="C54" s="138"/>
      <c r="D54" s="138"/>
      <c r="E54" s="138"/>
      <c r="F54" s="138"/>
      <c r="G54" s="138"/>
      <c r="H54" s="138"/>
      <c r="I54" s="138"/>
    </row>
    <row r="55" spans="1:14">
      <c r="A55" s="213"/>
      <c r="B55" s="138"/>
      <c r="C55" s="138"/>
      <c r="D55" s="138"/>
      <c r="E55" s="138"/>
      <c r="F55" s="138"/>
      <c r="G55" s="138"/>
      <c r="H55" s="138"/>
      <c r="I55" s="138"/>
    </row>
    <row r="56" spans="1:14">
      <c r="A56" s="212" t="s">
        <v>1259</v>
      </c>
      <c r="B56" s="138"/>
      <c r="C56" s="138"/>
      <c r="D56" s="138"/>
      <c r="E56" s="138"/>
      <c r="F56" s="138"/>
      <c r="G56" s="138"/>
      <c r="H56" s="138"/>
      <c r="I56" s="138"/>
    </row>
    <row r="57" spans="1:14">
      <c r="A57" s="213"/>
      <c r="B57" s="138"/>
      <c r="C57" s="138"/>
      <c r="D57" s="138"/>
      <c r="E57" s="138"/>
    </row>
    <row r="58" spans="1:14">
      <c r="A58" s="212" t="s">
        <v>1152</v>
      </c>
    </row>
    <row r="59" spans="1:14">
      <c r="A59" s="212" t="s">
        <v>1192</v>
      </c>
    </row>
    <row r="60" spans="1:14">
      <c r="A60" s="212" t="s">
        <v>1143</v>
      </c>
    </row>
  </sheetData>
  <sheetProtection password="DABD" sheet="1" objects="1" scenarios="1" formatColumns="0" formatRows="0" autoFilter="0"/>
  <mergeCells count="39">
    <mergeCell ref="I27:I28"/>
    <mergeCell ref="A18:A20"/>
    <mergeCell ref="G7:G9"/>
    <mergeCell ref="A8:A10"/>
    <mergeCell ref="D6:D7"/>
    <mergeCell ref="A16:B17"/>
    <mergeCell ref="C16:C17"/>
    <mergeCell ref="D16:D17"/>
    <mergeCell ref="E16:E17"/>
    <mergeCell ref="A6:B7"/>
    <mergeCell ref="C6:C7"/>
    <mergeCell ref="E6:E7"/>
    <mergeCell ref="N27:N28"/>
    <mergeCell ref="M27:M28"/>
    <mergeCell ref="L27:L28"/>
    <mergeCell ref="K27:K28"/>
    <mergeCell ref="J27:J28"/>
    <mergeCell ref="Q28:Q30"/>
    <mergeCell ref="A46:B47"/>
    <mergeCell ref="A29:A31"/>
    <mergeCell ref="E46:E47"/>
    <mergeCell ref="D46:D47"/>
    <mergeCell ref="D37:D38"/>
    <mergeCell ref="E37:E38"/>
    <mergeCell ref="A37:B38"/>
    <mergeCell ref="A26:B28"/>
    <mergeCell ref="C26:F26"/>
    <mergeCell ref="G26:J26"/>
    <mergeCell ref="K26:N26"/>
    <mergeCell ref="C27:C28"/>
    <mergeCell ref="D27:D28"/>
    <mergeCell ref="E27:E28"/>
    <mergeCell ref="F27:F28"/>
    <mergeCell ref="A3:F4"/>
    <mergeCell ref="A39:A41"/>
    <mergeCell ref="A48:A50"/>
    <mergeCell ref="H27:H28"/>
    <mergeCell ref="G27:G28"/>
    <mergeCell ref="G18:G20"/>
  </mergeCells>
  <conditionalFormatting sqref="E8">
    <cfRule type="expression" dxfId="21" priority="30">
      <formula>ISTEXT(E9)</formula>
    </cfRule>
    <cfRule type="expression" dxfId="20" priority="33">
      <formula>OR(E8&gt;D8,E8&lt;0,E9&gt;E10)</formula>
    </cfRule>
    <cfRule type="expression" dxfId="19" priority="34">
      <formula>AND(E8&lt;=D8,E9&gt;0)</formula>
    </cfRule>
  </conditionalFormatting>
  <conditionalFormatting sqref="E18">
    <cfRule type="expression" dxfId="18" priority="37">
      <formula>ISTEXT(E19)</formula>
    </cfRule>
    <cfRule type="expression" dxfId="17" priority="38">
      <formula>AND(E18&gt;=D18,E18&lt;=100,E18&gt;0)</formula>
    </cfRule>
    <cfRule type="expression" dxfId="16" priority="39">
      <formula>OR(AND(E18&lt;D18,E18&gt;0),E18&lt;0,E18&gt;100,E19&gt;E20)</formula>
    </cfRule>
  </conditionalFormatting>
  <conditionalFormatting sqref="K29:N29">
    <cfRule type="expression" dxfId="15" priority="23">
      <formula>OR(K29&gt;G29,K29&lt;0,K30&gt;K31)</formula>
    </cfRule>
    <cfRule type="expression" dxfId="14" priority="24">
      <formula>AND(K29&lt;=G29,K29&gt;0)</formula>
    </cfRule>
    <cfRule type="expression" dxfId="13" priority="25">
      <formula>ISTEXT(K30)</formula>
    </cfRule>
  </conditionalFormatting>
  <conditionalFormatting sqref="G29:J29">
    <cfRule type="expression" dxfId="12" priority="31">
      <formula>OR(G29&gt;C29,G29&lt;0,G30&gt;G31)</formula>
    </cfRule>
    <cfRule type="expression" dxfId="11" priority="32">
      <formula>AND(G29&lt;=C29,G29&gt;0)</formula>
    </cfRule>
    <cfRule type="expression" dxfId="10" priority="42">
      <formula>ISTEXT(G30)</formula>
    </cfRule>
  </conditionalFormatting>
  <conditionalFormatting sqref="D8">
    <cfRule type="expression" dxfId="9" priority="43">
      <formula>ISTEXT(D9)</formula>
    </cfRule>
    <cfRule type="expression" dxfId="8" priority="44">
      <formula>OR(D8&gt;C8,D8&lt;0,D9&gt;D10)</formula>
    </cfRule>
    <cfRule type="expression" dxfId="7" priority="45">
      <formula>AND(D8&lt;=C8,D9&gt;0)</formula>
    </cfRule>
  </conditionalFormatting>
  <conditionalFormatting sqref="D18">
    <cfRule type="expression" dxfId="6" priority="3">
      <formula>ISTEXT(D19)</formula>
    </cfRule>
    <cfRule type="expression" dxfId="5" priority="4">
      <formula>OR(AND(D18&lt;C18,D19&gt;0),D18&gt;100,D18&lt;0,D19&gt;D20)</formula>
    </cfRule>
    <cfRule type="expression" dxfId="4" priority="5">
      <formula>AND(D18&gt;=C18,D19&gt;0,D20&gt;0)</formula>
    </cfRule>
  </conditionalFormatting>
  <conditionalFormatting sqref="D20">
    <cfRule type="expression" dxfId="3" priority="2">
      <formula>AND(D20&lt;C20-5,D20&gt;0)</formula>
    </cfRule>
  </conditionalFormatting>
  <conditionalFormatting sqref="E20">
    <cfRule type="expression" dxfId="2" priority="1">
      <formula>AND(E20&lt;D20,E20&gt;0)</formula>
    </cfRule>
  </conditionalFormatting>
  <pageMargins left="0.7" right="0.7" top="0.75" bottom="0.75" header="0.3" footer="0.3"/>
  <pageSetup paperSize="9" scale="3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Sheet2!$A$10:$A$12</xm:f>
          </x14:formula1>
          <xm:sqref>B51 B42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U120"/>
  <sheetViews>
    <sheetView zoomScale="93" zoomScaleNormal="93" zoomScaleSheetLayoutView="100" workbookViewId="0">
      <pane ySplit="1" topLeftCell="A104" activePane="bottomLeft" state="frozen"/>
      <selection activeCell="F20" sqref="F20"/>
      <selection pane="bottomLeft" activeCell="C112" sqref="C112"/>
    </sheetView>
  </sheetViews>
  <sheetFormatPr defaultColWidth="9.109375" defaultRowHeight="15.05"/>
  <cols>
    <col min="1" max="1" width="6.88671875" style="660" customWidth="1"/>
    <col min="2" max="2" width="49.33203125" style="660" customWidth="1"/>
    <col min="3" max="3" width="19.44140625" style="660" customWidth="1"/>
    <col min="4" max="11" width="12.33203125" style="660" customWidth="1"/>
    <col min="12" max="12" width="10.6640625" style="660" customWidth="1"/>
    <col min="13" max="13" width="12" style="660" customWidth="1"/>
    <col min="14" max="14" width="11.88671875" style="660" customWidth="1"/>
    <col min="15" max="15" width="12.33203125" style="660" customWidth="1"/>
    <col min="16" max="71" width="8.33203125" style="660" customWidth="1"/>
    <col min="72" max="16384" width="9.109375" style="660"/>
  </cols>
  <sheetData>
    <row r="1" spans="1:15" ht="24.05" customHeight="1" thickBot="1">
      <c r="A1" s="914" t="str">
        <f>'1. HWB Funding Sources'!A4</f>
        <v>Leicester</v>
      </c>
      <c r="B1" s="915"/>
    </row>
    <row r="2" spans="1:15" ht="9.85" customHeight="1"/>
    <row r="3" spans="1:15" ht="59.25" customHeight="1">
      <c r="A3" s="923" t="s">
        <v>1343</v>
      </c>
      <c r="B3" s="923"/>
      <c r="C3" s="923"/>
      <c r="D3" s="923"/>
      <c r="E3" s="923"/>
      <c r="F3" s="923"/>
      <c r="G3" s="923"/>
      <c r="H3" s="923"/>
      <c r="I3" s="923"/>
      <c r="J3" s="923"/>
      <c r="K3" s="661"/>
      <c r="L3" s="661"/>
    </row>
    <row r="4" spans="1:15" s="665" customFormat="1" ht="20.3" customHeight="1">
      <c r="A4" s="662" t="s">
        <v>1492</v>
      </c>
      <c r="B4" s="663"/>
      <c r="C4" s="664"/>
      <c r="D4" s="664"/>
      <c r="E4" s="664"/>
      <c r="F4" s="664"/>
      <c r="G4" s="664"/>
      <c r="H4" s="664"/>
      <c r="I4" s="664"/>
      <c r="J4" s="664"/>
      <c r="K4" s="664"/>
      <c r="L4" s="664"/>
    </row>
    <row r="6" spans="1:15" ht="23.25" customHeight="1">
      <c r="B6" s="666" t="s">
        <v>1501</v>
      </c>
    </row>
    <row r="7" spans="1:15" ht="15.75" thickBot="1">
      <c r="D7" s="667">
        <v>1</v>
      </c>
      <c r="E7" s="667">
        <v>2</v>
      </c>
      <c r="F7" s="667">
        <v>3</v>
      </c>
      <c r="G7" s="667">
        <v>4</v>
      </c>
      <c r="H7" s="667">
        <v>5</v>
      </c>
      <c r="I7" s="667">
        <v>6</v>
      </c>
      <c r="J7" s="667">
        <v>7</v>
      </c>
      <c r="K7" s="667">
        <v>8</v>
      </c>
      <c r="L7" s="667">
        <v>9</v>
      </c>
      <c r="M7" s="667">
        <v>10</v>
      </c>
      <c r="N7" s="667">
        <v>11</v>
      </c>
      <c r="O7" s="667">
        <v>12</v>
      </c>
    </row>
    <row r="8" spans="1:15">
      <c r="B8" s="896" t="s">
        <v>806</v>
      </c>
      <c r="C8" s="897"/>
      <c r="D8" s="668" t="s">
        <v>841</v>
      </c>
      <c r="E8" s="669"/>
      <c r="F8" s="669"/>
      <c r="G8" s="668" t="s">
        <v>842</v>
      </c>
      <c r="H8" s="669"/>
      <c r="I8" s="669"/>
      <c r="J8" s="670"/>
      <c r="K8" s="669" t="s">
        <v>1269</v>
      </c>
      <c r="L8" s="669"/>
      <c r="M8" s="669"/>
      <c r="N8" s="669"/>
      <c r="O8" s="670"/>
    </row>
    <row r="9" spans="1:15" hidden="1">
      <c r="B9" s="898"/>
      <c r="C9" s="899"/>
      <c r="D9" s="671">
        <v>1</v>
      </c>
      <c r="E9" s="672">
        <v>2</v>
      </c>
      <c r="F9" s="673">
        <v>3</v>
      </c>
      <c r="G9" s="674">
        <v>4</v>
      </c>
      <c r="H9" s="671">
        <v>5</v>
      </c>
      <c r="I9" s="672">
        <v>6</v>
      </c>
      <c r="J9" s="675">
        <v>7</v>
      </c>
      <c r="K9" s="676">
        <v>8</v>
      </c>
      <c r="L9" s="671">
        <v>9</v>
      </c>
      <c r="M9" s="672">
        <v>10</v>
      </c>
      <c r="N9" s="672">
        <v>11</v>
      </c>
      <c r="O9" s="675">
        <v>12</v>
      </c>
    </row>
    <row r="10" spans="1:15" ht="20.95" customHeight="1" thickBot="1">
      <c r="B10" s="900"/>
      <c r="C10" s="924"/>
      <c r="D10" s="677" t="s">
        <v>884</v>
      </c>
      <c r="E10" s="678" t="s">
        <v>885</v>
      </c>
      <c r="F10" s="679" t="s">
        <v>886</v>
      </c>
      <c r="G10" s="680" t="s">
        <v>1270</v>
      </c>
      <c r="H10" s="677" t="s">
        <v>887</v>
      </c>
      <c r="I10" s="678" t="s">
        <v>888</v>
      </c>
      <c r="J10" s="681" t="s">
        <v>889</v>
      </c>
      <c r="K10" s="682" t="s">
        <v>890</v>
      </c>
      <c r="L10" s="683" t="s">
        <v>891</v>
      </c>
      <c r="M10" s="684" t="s">
        <v>892</v>
      </c>
      <c r="N10" s="684" t="s">
        <v>893</v>
      </c>
      <c r="O10" s="685" t="s">
        <v>894</v>
      </c>
    </row>
    <row r="11" spans="1:15" ht="39.799999999999997" customHeight="1" thickBot="1">
      <c r="B11" s="686" t="s">
        <v>1267</v>
      </c>
      <c r="C11" s="687" t="s">
        <v>1282</v>
      </c>
      <c r="D11" s="207">
        <f>VLOOKUP($A$1,'10.Non-elective admissions -HWB'!$E$5:$M$155,2,0)</f>
        <v>7194.4805765276096</v>
      </c>
      <c r="E11" s="207">
        <f>VLOOKUP($A$1,'10.Non-elective admissions -HWB'!$E$5:$M$155,3,0)</f>
        <v>7126.1886834141123</v>
      </c>
      <c r="F11" s="571">
        <f>VLOOKUP($A$1,'10.Non-elective admissions -HWB'!$E$5:$M$155,4,0)</f>
        <v>7557.3276109746712</v>
      </c>
      <c r="G11" s="207">
        <f>VLOOKUP($A$1,'10.Non-elective admissions -HWB'!$E$5:$M$155,5,0)</f>
        <v>8276.4607079068955</v>
      </c>
      <c r="H11" s="207">
        <f>VLOOKUP($A$1,'10.Non-elective admissions -HWB'!$E$5:$M$155,6,0)</f>
        <v>6629.3461144412522</v>
      </c>
      <c r="I11" s="207">
        <f>VLOOKUP($A$1,'10.Non-elective admissions -HWB'!$E$5:$M$155,7,0)</f>
        <v>7050.3076498427881</v>
      </c>
      <c r="J11" s="572">
        <f>VLOOKUP($A$1,'10.Non-elective admissions -HWB'!$E$5:$M$155,8,0)</f>
        <v>6975.9316246623948</v>
      </c>
      <c r="K11" s="625">
        <f>IF(FORECAST(K7,$D$11:$J$11,$D$7:$J$7)&lt;0,0,FORECAST(K7,$D$11:$J$11,$D$7:$J$7))</f>
        <v>7010.6646497854308</v>
      </c>
      <c r="L11" s="626">
        <f>IF(FORECAST(L7,$D$11:$J$11,$D$7:$J$7)&lt;0,0,FORECAST(L7,$D$11:$J$11,$D$7:$J$7))</f>
        <v>6948.686420525727</v>
      </c>
      <c r="M11" s="626">
        <f>IF(FORECAST(M7,$D$11:$J$11,$D$7:$J$7)&lt;0,0,FORECAST(M7,$D$11:$J$11,$D$7:$J$7))</f>
        <v>6886.7081912660233</v>
      </c>
      <c r="N11" s="626">
        <f>IF(FORECAST(N7,$D$11:$J$11,$D$7:$J$7)&lt;0,0,FORECAST(N7,$D$11:$J$11,$D$7:$J$7))</f>
        <v>6824.7299620063186</v>
      </c>
      <c r="O11" s="626">
        <f>IF(FORECAST(O7,$D$11:$J$11,$D$7:$J$7)&lt;0,0,FORECAST(O7,$D$11:$J$11,$D$7:$J$7))</f>
        <v>6762.7517327466148</v>
      </c>
    </row>
    <row r="12" spans="1:15" ht="19.5" customHeight="1">
      <c r="C12" s="688" t="s">
        <v>1489</v>
      </c>
      <c r="D12" s="622">
        <f t="shared" ref="D12:J12" si="0">D11</f>
        <v>7194.4805765276096</v>
      </c>
      <c r="E12" s="622">
        <f t="shared" si="0"/>
        <v>7126.1886834141123</v>
      </c>
      <c r="F12" s="622">
        <f t="shared" si="0"/>
        <v>7557.3276109746712</v>
      </c>
      <c r="G12" s="622">
        <f t="shared" si="0"/>
        <v>8276.4607079068955</v>
      </c>
      <c r="H12" s="622">
        <f t="shared" si="0"/>
        <v>6629.3461144412522</v>
      </c>
      <c r="I12" s="622">
        <f t="shared" si="0"/>
        <v>7050.3076498427881</v>
      </c>
      <c r="J12" s="622">
        <f t="shared" si="0"/>
        <v>6975.9316246623948</v>
      </c>
      <c r="K12" s="438">
        <f>'5. HWB P4P metric'!G10</f>
        <v>7986</v>
      </c>
      <c r="L12" s="438">
        <f>'5. HWB P4P metric'!H10</f>
        <v>6397</v>
      </c>
      <c r="M12" s="438">
        <f>'5. HWB P4P metric'!I10</f>
        <v>6803</v>
      </c>
      <c r="N12" s="438">
        <f>'5. HWB P4P metric'!J10</f>
        <v>6732</v>
      </c>
      <c r="O12" s="438">
        <f>'5. HWB P4P metric'!K10</f>
        <v>7706</v>
      </c>
    </row>
    <row r="13" spans="1:15">
      <c r="B13" s="689"/>
    </row>
    <row r="14" spans="1:15" ht="15.05" customHeight="1">
      <c r="L14" s="661"/>
      <c r="M14" s="661"/>
      <c r="N14" s="661"/>
      <c r="O14" s="661"/>
    </row>
    <row r="15" spans="1:15">
      <c r="L15" s="661"/>
      <c r="M15" s="661"/>
      <c r="N15" s="661"/>
      <c r="O15" s="661"/>
    </row>
    <row r="16" spans="1:15">
      <c r="L16" s="661"/>
      <c r="M16" s="661"/>
      <c r="N16" s="661"/>
      <c r="O16" s="661"/>
    </row>
    <row r="17" spans="2:18">
      <c r="L17" s="661"/>
      <c r="M17" s="661"/>
      <c r="N17" s="661"/>
      <c r="O17" s="661"/>
    </row>
    <row r="18" spans="2:18">
      <c r="L18" s="661"/>
      <c r="M18" s="661"/>
      <c r="N18" s="661"/>
      <c r="O18" s="661"/>
      <c r="P18" s="690"/>
      <c r="Q18" s="691"/>
      <c r="R18" s="691"/>
    </row>
    <row r="19" spans="2:18">
      <c r="L19" s="661"/>
      <c r="M19" s="661"/>
      <c r="N19" s="661"/>
      <c r="O19" s="661"/>
    </row>
    <row r="20" spans="2:18">
      <c r="L20" s="661"/>
      <c r="M20" s="661"/>
      <c r="N20" s="661"/>
      <c r="O20" s="661"/>
    </row>
    <row r="21" spans="2:18">
      <c r="L21" s="661"/>
      <c r="M21" s="661"/>
      <c r="N21" s="661"/>
      <c r="O21" s="661"/>
    </row>
    <row r="22" spans="2:18">
      <c r="L22" s="661"/>
      <c r="M22" s="661"/>
      <c r="N22" s="661"/>
      <c r="O22" s="661"/>
    </row>
    <row r="23" spans="2:18">
      <c r="L23" s="661"/>
      <c r="M23" s="661"/>
      <c r="N23" s="661"/>
      <c r="O23" s="661"/>
    </row>
    <row r="24" spans="2:18">
      <c r="L24" s="661"/>
      <c r="M24" s="661"/>
      <c r="N24" s="661"/>
      <c r="O24" s="661"/>
    </row>
    <row r="25" spans="2:18">
      <c r="L25" s="661"/>
      <c r="M25" s="661"/>
      <c r="N25" s="661"/>
      <c r="O25" s="661"/>
    </row>
    <row r="26" spans="2:18">
      <c r="L26" s="661"/>
      <c r="M26" s="661"/>
      <c r="N26" s="661"/>
      <c r="O26" s="661"/>
    </row>
    <row r="27" spans="2:18">
      <c r="L27" s="661"/>
      <c r="M27" s="661"/>
      <c r="N27" s="661"/>
      <c r="O27" s="661"/>
    </row>
    <row r="29" spans="2:18" ht="15.75" thickBot="1"/>
    <row r="30" spans="2:18" ht="18.850000000000001" customHeight="1">
      <c r="B30" s="896" t="s">
        <v>806</v>
      </c>
      <c r="C30" s="897"/>
      <c r="D30" s="692" t="s">
        <v>1268</v>
      </c>
      <c r="E30" s="693"/>
      <c r="F30" s="693"/>
      <c r="G30" s="693"/>
      <c r="H30" s="694"/>
      <c r="J30" s="695"/>
      <c r="K30" s="695"/>
      <c r="L30" s="695"/>
    </row>
    <row r="31" spans="2:18" ht="15.05" customHeight="1">
      <c r="B31" s="898"/>
      <c r="C31" s="899"/>
      <c r="D31" s="696" t="s">
        <v>1347</v>
      </c>
      <c r="E31" s="697" t="s">
        <v>995</v>
      </c>
      <c r="F31" s="697" t="s">
        <v>995</v>
      </c>
      <c r="G31" s="697" t="s">
        <v>995</v>
      </c>
      <c r="H31" s="698" t="s">
        <v>995</v>
      </c>
      <c r="J31" s="699"/>
      <c r="K31" s="700"/>
      <c r="L31" s="701"/>
    </row>
    <row r="32" spans="2:18" ht="15.75" thickBot="1">
      <c r="B32" s="900"/>
      <c r="C32" s="901"/>
      <c r="D32" s="702" t="s">
        <v>1002</v>
      </c>
      <c r="E32" s="703" t="s">
        <v>999</v>
      </c>
      <c r="F32" s="703" t="s">
        <v>1000</v>
      </c>
      <c r="G32" s="703" t="s">
        <v>1001</v>
      </c>
      <c r="H32" s="704" t="s">
        <v>1002</v>
      </c>
      <c r="J32" s="699"/>
      <c r="K32" s="705"/>
      <c r="L32" s="705"/>
    </row>
    <row r="33" spans="2:12" ht="15.05" customHeight="1">
      <c r="B33" s="920" t="s">
        <v>1267</v>
      </c>
      <c r="C33" s="706" t="s">
        <v>1336</v>
      </c>
      <c r="D33" s="478">
        <f>D34/D35*100000</f>
        <v>2088.3737332541878</v>
      </c>
      <c r="E33" s="479">
        <f>E34/E35*100000</f>
        <v>2057.4092716551836</v>
      </c>
      <c r="F33" s="479">
        <f>F34/F35*100000</f>
        <v>2039.0583811698941</v>
      </c>
      <c r="G33" s="479">
        <f>G34/G35*100000</f>
        <v>2020.7074906846044</v>
      </c>
      <c r="H33" s="480">
        <f>H34/H35*100000</f>
        <v>1989.4382025190514</v>
      </c>
      <c r="J33" s="707"/>
      <c r="K33" s="708"/>
      <c r="L33" s="708"/>
    </row>
    <row r="34" spans="2:12">
      <c r="B34" s="921"/>
      <c r="C34" s="709" t="s">
        <v>811</v>
      </c>
      <c r="D34" s="424">
        <f>K11</f>
        <v>7010.6646497854308</v>
      </c>
      <c r="E34" s="315">
        <f>L11</f>
        <v>6948.686420525727</v>
      </c>
      <c r="F34" s="315">
        <f>M11</f>
        <v>6886.7081912660233</v>
      </c>
      <c r="G34" s="315">
        <f>N11</f>
        <v>6824.7299620063186</v>
      </c>
      <c r="H34" s="316">
        <f>O11</f>
        <v>6762.7517327466148</v>
      </c>
      <c r="J34" s="707"/>
      <c r="K34" s="710"/>
      <c r="L34" s="710"/>
    </row>
    <row r="35" spans="2:12" ht="15.75" thickBot="1">
      <c r="B35" s="922"/>
      <c r="C35" s="711" t="s">
        <v>812</v>
      </c>
      <c r="D35" s="425">
        <f>VLOOKUP($A$1,Data!$CM$5:$FK$156,75,0)</f>
        <v>335699.71399999998</v>
      </c>
      <c r="E35" s="318">
        <f>VLOOKUP($A$1,Data!$CM$5:$FK$156,76,0)</f>
        <v>337739.62800000003</v>
      </c>
      <c r="F35" s="318">
        <f>VLOOKUP($A$1,Data!$CM$5:$FK$156,76,0)</f>
        <v>337739.62800000003</v>
      </c>
      <c r="G35" s="318">
        <f>VLOOKUP($A$1,Data!$CM$5:$FK$156,76,0)</f>
        <v>337739.62800000003</v>
      </c>
      <c r="H35" s="319">
        <f>VLOOKUP($A$1,Data!$CM$5:$FK$156,77,0)</f>
        <v>339932.73700000002</v>
      </c>
      <c r="J35" s="707"/>
      <c r="K35" s="710"/>
      <c r="L35" s="710"/>
    </row>
    <row r="36" spans="2:12">
      <c r="D36" s="135"/>
      <c r="E36" s="135"/>
      <c r="F36" s="135"/>
      <c r="G36" s="135"/>
      <c r="H36" s="135"/>
    </row>
    <row r="37" spans="2:12">
      <c r="B37" s="660" t="s">
        <v>1003</v>
      </c>
    </row>
    <row r="39" spans="2:12" ht="15.75">
      <c r="B39" s="666" t="s">
        <v>805</v>
      </c>
      <c r="D39" s="667"/>
      <c r="E39" s="667"/>
      <c r="F39" s="667"/>
      <c r="G39" s="667"/>
      <c r="H39" s="667"/>
    </row>
    <row r="40" spans="2:12" ht="7.55" customHeight="1" thickBot="1">
      <c r="D40" s="712">
        <v>1</v>
      </c>
      <c r="E40" s="667">
        <v>2</v>
      </c>
      <c r="F40" s="667">
        <v>3</v>
      </c>
      <c r="G40" s="667">
        <v>4</v>
      </c>
      <c r="H40" s="667">
        <v>5</v>
      </c>
    </row>
    <row r="41" spans="2:12" ht="15.05" customHeight="1">
      <c r="B41" s="916" t="s">
        <v>806</v>
      </c>
      <c r="C41" s="917"/>
      <c r="D41" s="713" t="s">
        <v>991</v>
      </c>
      <c r="E41" s="713" t="s">
        <v>992</v>
      </c>
      <c r="F41" s="925" t="s">
        <v>1275</v>
      </c>
      <c r="G41" s="713" t="s">
        <v>994</v>
      </c>
      <c r="H41" s="713" t="s">
        <v>995</v>
      </c>
    </row>
    <row r="42" spans="2:12" ht="15.75" thickBot="1">
      <c r="B42" s="918"/>
      <c r="C42" s="919"/>
      <c r="D42" s="714" t="s">
        <v>841</v>
      </c>
      <c r="E42" s="714" t="s">
        <v>1276</v>
      </c>
      <c r="F42" s="926"/>
      <c r="G42" s="714" t="s">
        <v>1349</v>
      </c>
      <c r="H42" s="714" t="s">
        <v>1349</v>
      </c>
    </row>
    <row r="43" spans="2:12" ht="24.75" customHeight="1">
      <c r="B43" s="920" t="s">
        <v>809</v>
      </c>
      <c r="C43" s="706" t="s">
        <v>1281</v>
      </c>
      <c r="D43" s="481">
        <f>VLOOKUP($A$1,Data!$D$5:$P$156,10,0)</f>
        <v>580.29999999999995</v>
      </c>
      <c r="E43" s="481">
        <f>VLOOKUP($A$1,Data!$D$5:$P$156,11,0)</f>
        <v>735.3</v>
      </c>
      <c r="F43" s="481">
        <f>VLOOKUP($A$1,Data!$D$5:$P$156,12,0)</f>
        <v>764.2</v>
      </c>
      <c r="G43" s="320">
        <f>IF(FORECAST(G40,$D$43:$F$43,$D$40:$F$40)&lt;0,0,FORECAST(G40,$D$43:$F$43,$D$40:$F$40))</f>
        <v>877.16666666666686</v>
      </c>
      <c r="H43" s="320">
        <f>IF(FORECAST(H40,$D$43:$F$43,$D$40:$F$40)&lt;0,0,FORECAST(H40,$D$43:$F$43,$D$40:$F$40))</f>
        <v>969.1166666666669</v>
      </c>
    </row>
    <row r="44" spans="2:12" ht="15.05" customHeight="1">
      <c r="B44" s="921"/>
      <c r="C44" s="709" t="s">
        <v>811</v>
      </c>
      <c r="D44" s="204">
        <f>VLOOKUP($A$1,Data!$D$5:$P$156,2,0)</f>
        <v>215</v>
      </c>
      <c r="E44" s="204">
        <f>VLOOKUP($A$1,Data!$D$5:$P$156,3,0)</f>
        <v>280</v>
      </c>
      <c r="F44" s="204">
        <f>VLOOKUP($A$1,Data!$D$5:$P$156,4,0)</f>
        <v>290</v>
      </c>
      <c r="G44" s="321">
        <f>G43/100000*G45</f>
        <v>345.94019165833356</v>
      </c>
      <c r="H44" s="321">
        <f>H43/100000*H45</f>
        <v>389.7405595190001</v>
      </c>
    </row>
    <row r="45" spans="2:12" ht="15.05" customHeight="1" thickBot="1">
      <c r="B45" s="922"/>
      <c r="C45" s="711" t="s">
        <v>812</v>
      </c>
      <c r="D45" s="205">
        <f>VLOOKUP($A$1,Data!$D$5:$P$156,5,0)</f>
        <v>37395</v>
      </c>
      <c r="E45" s="205">
        <f>VLOOKUP($A$1,Data!$D$5:$P$156,6,0)</f>
        <v>38080</v>
      </c>
      <c r="F45" s="205">
        <f>VLOOKUP($A$1,Data!$D$5:$P$156,6,0)</f>
        <v>38080</v>
      </c>
      <c r="G45" s="206">
        <f>VLOOKUP($A$1,Data!$D$5:$P$156,8,0)</f>
        <v>39438.365000000013</v>
      </c>
      <c r="H45" s="206">
        <f>VLOOKUP($A$1,Data!$D$5:$P$156,9,0)</f>
        <v>40216.061999999998</v>
      </c>
    </row>
    <row r="46" spans="2:12">
      <c r="C46" s="667" t="s">
        <v>1490</v>
      </c>
      <c r="D46" s="623">
        <f>D43</f>
        <v>580.29999999999995</v>
      </c>
      <c r="E46" s="623">
        <f>E43</f>
        <v>735.3</v>
      </c>
      <c r="F46" s="623">
        <f>F43</f>
        <v>764.2</v>
      </c>
      <c r="G46" s="623">
        <f>'6. HWB Supporting Metrics'!D8</f>
        <v>709.96858008692789</v>
      </c>
      <c r="H46" s="623">
        <f>'6. HWB Supporting Metrics'!E8</f>
        <v>671.37354224289788</v>
      </c>
    </row>
    <row r="47" spans="2:12">
      <c r="D47" s="690"/>
      <c r="E47" s="690"/>
      <c r="F47" s="690"/>
      <c r="G47" s="690"/>
      <c r="H47" s="690"/>
    </row>
    <row r="48" spans="2:12">
      <c r="E48" s="715"/>
      <c r="F48" s="715"/>
      <c r="G48" s="665" t="s">
        <v>1280</v>
      </c>
      <c r="H48" s="715"/>
      <c r="I48" s="715"/>
    </row>
    <row r="49" spans="2:9">
      <c r="E49" s="715"/>
      <c r="F49" s="715"/>
      <c r="G49" s="715"/>
      <c r="H49" s="715"/>
      <c r="I49" s="715"/>
    </row>
    <row r="50" spans="2:9">
      <c r="E50" s="715"/>
      <c r="F50" s="715"/>
      <c r="G50" s="715"/>
      <c r="H50" s="715"/>
      <c r="I50" s="715"/>
    </row>
    <row r="62" spans="2:9" ht="15.75">
      <c r="B62" s="666" t="s">
        <v>813</v>
      </c>
    </row>
    <row r="63" spans="2:9" ht="11.3" customHeight="1" thickBot="1">
      <c r="D63" s="667">
        <v>1</v>
      </c>
      <c r="E63" s="667">
        <v>2</v>
      </c>
      <c r="F63" s="667">
        <v>3</v>
      </c>
      <c r="G63" s="667">
        <v>4</v>
      </c>
      <c r="H63" s="667">
        <v>5</v>
      </c>
    </row>
    <row r="64" spans="2:9" ht="15.05" customHeight="1">
      <c r="B64" s="916" t="s">
        <v>806</v>
      </c>
      <c r="C64" s="917"/>
      <c r="D64" s="713" t="s">
        <v>991</v>
      </c>
      <c r="E64" s="713" t="s">
        <v>992</v>
      </c>
      <c r="F64" s="713" t="s">
        <v>993</v>
      </c>
      <c r="G64" s="713" t="s">
        <v>994</v>
      </c>
      <c r="H64" s="713" t="s">
        <v>995</v>
      </c>
    </row>
    <row r="65" spans="2:11" ht="15.75" thickBot="1">
      <c r="B65" s="918"/>
      <c r="C65" s="919"/>
      <c r="D65" s="716" t="s">
        <v>841</v>
      </c>
      <c r="E65" s="716" t="s">
        <v>841</v>
      </c>
      <c r="F65" s="716" t="s">
        <v>842</v>
      </c>
      <c r="G65" s="716" t="s">
        <v>1349</v>
      </c>
      <c r="H65" s="716" t="s">
        <v>1349</v>
      </c>
    </row>
    <row r="66" spans="2:11" ht="26.2" customHeight="1">
      <c r="B66" s="920" t="s">
        <v>814</v>
      </c>
      <c r="C66" s="706" t="s">
        <v>1283</v>
      </c>
      <c r="D66" s="482">
        <f>VLOOKUP($A$1,Data!$Q$5:$AB$156,8,0)</f>
        <v>77.2</v>
      </c>
      <c r="E66" s="482">
        <f>VLOOKUP($A$1,Data!$Q$5:$AB$156,9,0)</f>
        <v>83.1</v>
      </c>
      <c r="F66" s="482">
        <f>VLOOKUP($A$1,Data!$Q$5:$AB$156,10,0)</f>
        <v>87</v>
      </c>
      <c r="G66" s="483">
        <f>IF(FORECAST(G63,$D$66:$F$66,$D$63:$F$63)&lt;0,0,IF(FORECAST(G63,$D$66:$F$66,$D$63:$F$63)&gt;100,100,FORECAST(G63,$D$66:$F$66,$D$63:$F$63)))</f>
        <v>92.233333333333334</v>
      </c>
      <c r="H66" s="483">
        <f>IF(FORECAST(H63,$D$66:$F$66,$D$63:$F$63)&lt;0,0,IF(FORECAST(H63,$D$66:$F$66,$D$63:$F$63)&gt;100,100,FORECAST(H63,$D$66:$F$66,$D$63:$F$63)))</f>
        <v>97.133333333333326</v>
      </c>
    </row>
    <row r="67" spans="2:11">
      <c r="B67" s="921"/>
      <c r="C67" s="709" t="s">
        <v>811</v>
      </c>
      <c r="D67" s="484">
        <f>VLOOKUP($A$1,Data!$Q$5:$AB$156,2,0)</f>
        <v>155</v>
      </c>
      <c r="E67" s="484">
        <f>VLOOKUP($A$1,Data!$Q$5:$AB$156,3,0)</f>
        <v>180</v>
      </c>
      <c r="F67" s="484">
        <f>VLOOKUP($A$1,Data!$Q$5:$AB$156,4,0)</f>
        <v>200</v>
      </c>
      <c r="G67" s="485">
        <f>G66/100*G68</f>
        <v>212.13666666666666</v>
      </c>
      <c r="H67" s="485">
        <f>H66/100*H68</f>
        <v>223.40666666666667</v>
      </c>
    </row>
    <row r="68" spans="2:11" ht="15.75" thickBot="1">
      <c r="B68" s="922"/>
      <c r="C68" s="711" t="s">
        <v>812</v>
      </c>
      <c r="D68" s="486">
        <f>VLOOKUP($A$1,Data!$Q$5:$AB$156,5,0)</f>
        <v>200</v>
      </c>
      <c r="E68" s="486">
        <f>VLOOKUP($A$1,Data!$Q$5:$AB$156,6,0)</f>
        <v>220</v>
      </c>
      <c r="F68" s="486">
        <f>VLOOKUP($A$1,Data!$Q$5:$AB$156,7,0)</f>
        <v>230</v>
      </c>
      <c r="G68" s="487">
        <f>F68</f>
        <v>230</v>
      </c>
      <c r="H68" s="487">
        <f>F68</f>
        <v>230</v>
      </c>
    </row>
    <row r="69" spans="2:11">
      <c r="C69" s="667" t="s">
        <v>1490</v>
      </c>
      <c r="D69" s="624">
        <f>D66</f>
        <v>77.2</v>
      </c>
      <c r="E69" s="624">
        <f t="shared" ref="E69:F69" si="1">E66</f>
        <v>83.1</v>
      </c>
      <c r="F69" s="624">
        <f t="shared" si="1"/>
        <v>87</v>
      </c>
      <c r="G69" s="624">
        <f>'6. HWB Supporting Metrics'!D18</f>
        <v>88.84615384615384</v>
      </c>
      <c r="H69" s="624">
        <f>'6. HWB Supporting Metrics'!E18</f>
        <v>90</v>
      </c>
    </row>
    <row r="71" spans="2:11" ht="15.05" customHeight="1">
      <c r="D71" s="715"/>
      <c r="E71" s="715"/>
      <c r="G71" s="913" t="s">
        <v>1279</v>
      </c>
      <c r="H71" s="913"/>
      <c r="I71" s="913"/>
      <c r="J71" s="913"/>
      <c r="K71" s="913"/>
    </row>
    <row r="72" spans="2:11">
      <c r="D72" s="715"/>
      <c r="E72" s="715"/>
      <c r="F72" s="715"/>
      <c r="G72" s="913"/>
      <c r="H72" s="913"/>
      <c r="I72" s="913"/>
      <c r="J72" s="913"/>
      <c r="K72" s="913"/>
    </row>
    <row r="73" spans="2:11">
      <c r="D73" s="715"/>
      <c r="E73" s="715"/>
      <c r="F73" s="715"/>
      <c r="G73" s="913"/>
      <c r="H73" s="913"/>
      <c r="I73" s="913"/>
      <c r="J73" s="913"/>
      <c r="K73" s="913"/>
    </row>
    <row r="74" spans="2:11">
      <c r="G74" s="913"/>
      <c r="H74" s="913"/>
      <c r="I74" s="913"/>
      <c r="J74" s="913"/>
      <c r="K74" s="913"/>
    </row>
    <row r="84" spans="2:73" ht="15.75">
      <c r="B84" s="666" t="s">
        <v>996</v>
      </c>
    </row>
    <row r="85" spans="2:73" ht="16.399999999999999" thickBot="1">
      <c r="B85" s="666"/>
    </row>
    <row r="86" spans="2:73">
      <c r="B86" s="896" t="s">
        <v>806</v>
      </c>
      <c r="C86" s="910"/>
      <c r="D86" s="893" t="s">
        <v>841</v>
      </c>
      <c r="E86" s="894"/>
      <c r="F86" s="894"/>
      <c r="G86" s="894"/>
      <c r="H86" s="894"/>
      <c r="I86" s="894"/>
      <c r="J86" s="894"/>
      <c r="K86" s="894"/>
      <c r="L86" s="894"/>
      <c r="M86" s="894"/>
      <c r="N86" s="894"/>
      <c r="O86" s="894"/>
      <c r="P86" s="894"/>
      <c r="Q86" s="894"/>
      <c r="R86" s="894"/>
      <c r="S86" s="894"/>
      <c r="T86" s="894"/>
      <c r="U86" s="894"/>
      <c r="V86" s="894"/>
      <c r="W86" s="894"/>
      <c r="X86" s="894"/>
      <c r="Y86" s="894"/>
      <c r="Z86" s="894"/>
      <c r="AA86" s="894"/>
      <c r="AB86" s="894"/>
      <c r="AC86" s="894"/>
      <c r="AD86" s="894"/>
      <c r="AE86" s="894"/>
      <c r="AF86" s="894"/>
      <c r="AG86" s="894"/>
      <c r="AH86" s="894"/>
      <c r="AI86" s="895"/>
      <c r="AJ86" s="893" t="s">
        <v>842</v>
      </c>
      <c r="AK86" s="894"/>
      <c r="AL86" s="894"/>
      <c r="AM86" s="894"/>
      <c r="AN86" s="894"/>
      <c r="AO86" s="894"/>
      <c r="AP86" s="894"/>
      <c r="AQ86" s="894"/>
      <c r="AR86" s="894"/>
      <c r="AS86" s="894"/>
      <c r="AT86" s="894"/>
      <c r="AU86" s="895"/>
      <c r="AV86" s="893" t="s">
        <v>997</v>
      </c>
      <c r="AW86" s="894"/>
      <c r="AX86" s="894"/>
      <c r="AY86" s="894"/>
      <c r="AZ86" s="894"/>
      <c r="BA86" s="894"/>
      <c r="BB86" s="894"/>
      <c r="BC86" s="894"/>
      <c r="BD86" s="894"/>
      <c r="BE86" s="894"/>
      <c r="BF86" s="894"/>
      <c r="BG86" s="894"/>
      <c r="BH86" s="894"/>
      <c r="BI86" s="894"/>
      <c r="BJ86" s="894"/>
      <c r="BK86" s="894"/>
      <c r="BL86" s="894"/>
      <c r="BM86" s="894"/>
      <c r="BN86" s="894"/>
      <c r="BO86" s="894"/>
      <c r="BP86" s="894"/>
      <c r="BQ86" s="894"/>
      <c r="BR86" s="894"/>
      <c r="BS86" s="895"/>
      <c r="BT86" s="695"/>
      <c r="BU86" s="695"/>
    </row>
    <row r="87" spans="2:73" ht="15.75" hidden="1" customHeight="1" thickBot="1">
      <c r="B87" s="898"/>
      <c r="C87" s="911"/>
      <c r="D87" s="671">
        <v>1</v>
      </c>
      <c r="E87" s="672">
        <v>2</v>
      </c>
      <c r="F87" s="672">
        <v>3</v>
      </c>
      <c r="G87" s="672">
        <v>4</v>
      </c>
      <c r="H87" s="672">
        <v>5</v>
      </c>
      <c r="I87" s="672">
        <v>6</v>
      </c>
      <c r="J87" s="672">
        <v>7</v>
      </c>
      <c r="K87" s="672">
        <v>8</v>
      </c>
      <c r="L87" s="672">
        <v>9</v>
      </c>
      <c r="M87" s="672">
        <v>10</v>
      </c>
      <c r="N87" s="672">
        <v>11</v>
      </c>
      <c r="O87" s="672">
        <v>12</v>
      </c>
      <c r="P87" s="672">
        <v>13</v>
      </c>
      <c r="Q87" s="672">
        <v>14</v>
      </c>
      <c r="R87" s="672">
        <v>15</v>
      </c>
      <c r="S87" s="672">
        <v>16</v>
      </c>
      <c r="T87" s="672">
        <v>17</v>
      </c>
      <c r="U87" s="672">
        <v>18</v>
      </c>
      <c r="V87" s="672">
        <v>19</v>
      </c>
      <c r="W87" s="672">
        <v>20</v>
      </c>
      <c r="X87" s="672">
        <v>21</v>
      </c>
      <c r="Y87" s="672">
        <v>22</v>
      </c>
      <c r="Z87" s="672">
        <v>23</v>
      </c>
      <c r="AA87" s="672">
        <v>24</v>
      </c>
      <c r="AB87" s="672">
        <v>25</v>
      </c>
      <c r="AC87" s="672">
        <v>26</v>
      </c>
      <c r="AD87" s="672">
        <v>27</v>
      </c>
      <c r="AE87" s="672">
        <v>28</v>
      </c>
      <c r="AF87" s="672">
        <v>29</v>
      </c>
      <c r="AG87" s="672">
        <v>30</v>
      </c>
      <c r="AH87" s="672">
        <v>31</v>
      </c>
      <c r="AI87" s="675">
        <v>32</v>
      </c>
      <c r="AJ87" s="671">
        <v>33</v>
      </c>
      <c r="AK87" s="672">
        <v>34</v>
      </c>
      <c r="AL87" s="672">
        <v>35</v>
      </c>
      <c r="AM87" s="672">
        <v>36</v>
      </c>
      <c r="AN87" s="672">
        <v>37</v>
      </c>
      <c r="AO87" s="672">
        <v>38</v>
      </c>
      <c r="AP87" s="672">
        <v>39</v>
      </c>
      <c r="AQ87" s="672">
        <v>40</v>
      </c>
      <c r="AR87" s="672">
        <v>41</v>
      </c>
      <c r="AS87" s="672">
        <v>42</v>
      </c>
      <c r="AT87" s="672">
        <v>43</v>
      </c>
      <c r="AU87" s="675">
        <v>44</v>
      </c>
      <c r="AV87" s="671">
        <v>45</v>
      </c>
      <c r="AW87" s="672">
        <v>46</v>
      </c>
      <c r="AX87" s="672">
        <v>47</v>
      </c>
      <c r="AY87" s="672">
        <v>48</v>
      </c>
      <c r="AZ87" s="672">
        <v>49</v>
      </c>
      <c r="BA87" s="672">
        <v>50</v>
      </c>
      <c r="BB87" s="672">
        <v>51</v>
      </c>
      <c r="BC87" s="672">
        <v>52</v>
      </c>
      <c r="BD87" s="672">
        <v>53</v>
      </c>
      <c r="BE87" s="672">
        <v>54</v>
      </c>
      <c r="BF87" s="672">
        <v>55</v>
      </c>
      <c r="BG87" s="672">
        <v>56</v>
      </c>
      <c r="BH87" s="672">
        <v>57</v>
      </c>
      <c r="BI87" s="672">
        <v>58</v>
      </c>
      <c r="BJ87" s="672">
        <v>59</v>
      </c>
      <c r="BK87" s="672">
        <v>60</v>
      </c>
      <c r="BL87" s="672">
        <v>61</v>
      </c>
      <c r="BM87" s="672">
        <v>62</v>
      </c>
      <c r="BN87" s="672">
        <v>63</v>
      </c>
      <c r="BO87" s="672">
        <v>64</v>
      </c>
      <c r="BP87" s="672">
        <v>65</v>
      </c>
      <c r="BQ87" s="672">
        <v>66</v>
      </c>
      <c r="BR87" s="672">
        <v>67</v>
      </c>
      <c r="BS87" s="675">
        <v>68</v>
      </c>
      <c r="BT87" s="695"/>
      <c r="BU87" s="695"/>
    </row>
    <row r="88" spans="2:73" ht="15.05" customHeight="1" thickBot="1">
      <c r="B88" s="900"/>
      <c r="C88" s="912"/>
      <c r="D88" s="677">
        <v>40391</v>
      </c>
      <c r="E88" s="678">
        <v>40422</v>
      </c>
      <c r="F88" s="678">
        <v>40452</v>
      </c>
      <c r="G88" s="678">
        <v>40483</v>
      </c>
      <c r="H88" s="678">
        <v>40513</v>
      </c>
      <c r="I88" s="678">
        <v>40544</v>
      </c>
      <c r="J88" s="678">
        <v>40575</v>
      </c>
      <c r="K88" s="678">
        <v>40603</v>
      </c>
      <c r="L88" s="678">
        <v>40634</v>
      </c>
      <c r="M88" s="678">
        <v>40664</v>
      </c>
      <c r="N88" s="678">
        <v>40695</v>
      </c>
      <c r="O88" s="678">
        <v>40725</v>
      </c>
      <c r="P88" s="678">
        <v>40756</v>
      </c>
      <c r="Q88" s="678">
        <v>40787</v>
      </c>
      <c r="R88" s="678">
        <v>40817</v>
      </c>
      <c r="S88" s="678">
        <v>40848</v>
      </c>
      <c r="T88" s="717">
        <v>40878</v>
      </c>
      <c r="U88" s="717">
        <v>40909</v>
      </c>
      <c r="V88" s="717">
        <v>40940</v>
      </c>
      <c r="W88" s="717">
        <v>40969</v>
      </c>
      <c r="X88" s="717">
        <v>41000</v>
      </c>
      <c r="Y88" s="717">
        <v>41030</v>
      </c>
      <c r="Z88" s="717">
        <v>41061</v>
      </c>
      <c r="AA88" s="717">
        <v>41091</v>
      </c>
      <c r="AB88" s="717">
        <v>41122</v>
      </c>
      <c r="AC88" s="717">
        <v>41153</v>
      </c>
      <c r="AD88" s="717">
        <v>41183</v>
      </c>
      <c r="AE88" s="717">
        <v>41214</v>
      </c>
      <c r="AF88" s="717">
        <v>41244</v>
      </c>
      <c r="AG88" s="717">
        <v>41275</v>
      </c>
      <c r="AH88" s="717">
        <v>41306</v>
      </c>
      <c r="AI88" s="718">
        <v>41334</v>
      </c>
      <c r="AJ88" s="719">
        <v>41365</v>
      </c>
      <c r="AK88" s="717">
        <v>41395</v>
      </c>
      <c r="AL88" s="717">
        <v>41426</v>
      </c>
      <c r="AM88" s="717">
        <v>41456</v>
      </c>
      <c r="AN88" s="717">
        <v>41487</v>
      </c>
      <c r="AO88" s="717">
        <v>41518</v>
      </c>
      <c r="AP88" s="717">
        <v>41548</v>
      </c>
      <c r="AQ88" s="717">
        <v>41579</v>
      </c>
      <c r="AR88" s="717">
        <v>41609</v>
      </c>
      <c r="AS88" s="717">
        <v>41640</v>
      </c>
      <c r="AT88" s="717">
        <v>41671</v>
      </c>
      <c r="AU88" s="718">
        <v>41699</v>
      </c>
      <c r="AV88" s="719">
        <v>41730</v>
      </c>
      <c r="AW88" s="717">
        <v>41760</v>
      </c>
      <c r="AX88" s="717">
        <v>41791</v>
      </c>
      <c r="AY88" s="717">
        <v>41821</v>
      </c>
      <c r="AZ88" s="717">
        <v>41852</v>
      </c>
      <c r="BA88" s="717">
        <v>41883</v>
      </c>
      <c r="BB88" s="717">
        <v>41913</v>
      </c>
      <c r="BC88" s="717">
        <v>41944</v>
      </c>
      <c r="BD88" s="717">
        <v>41974</v>
      </c>
      <c r="BE88" s="717">
        <v>42005</v>
      </c>
      <c r="BF88" s="717">
        <v>42036</v>
      </c>
      <c r="BG88" s="717">
        <v>42064</v>
      </c>
      <c r="BH88" s="717">
        <v>42095</v>
      </c>
      <c r="BI88" s="717">
        <v>42125</v>
      </c>
      <c r="BJ88" s="717">
        <v>42156</v>
      </c>
      <c r="BK88" s="717">
        <v>42186</v>
      </c>
      <c r="BL88" s="717">
        <v>42217</v>
      </c>
      <c r="BM88" s="717">
        <v>42248</v>
      </c>
      <c r="BN88" s="717">
        <v>42278</v>
      </c>
      <c r="BO88" s="717">
        <v>42309</v>
      </c>
      <c r="BP88" s="717">
        <v>42339</v>
      </c>
      <c r="BQ88" s="717">
        <v>42370</v>
      </c>
      <c r="BR88" s="717">
        <v>42401</v>
      </c>
      <c r="BS88" s="718">
        <v>42430</v>
      </c>
      <c r="BT88" s="720"/>
      <c r="BU88" s="695"/>
    </row>
    <row r="89" spans="2:73" ht="29.95" customHeight="1" thickBot="1">
      <c r="B89" s="686" t="s">
        <v>1145</v>
      </c>
      <c r="C89" s="687" t="s">
        <v>1284</v>
      </c>
      <c r="D89" s="207">
        <f>VLOOKUP($A$1,Data!$AC$5:$CL$156,D87+1,0)</f>
        <v>549</v>
      </c>
      <c r="E89" s="208">
        <f>VLOOKUP($A$1,Data!$AC$5:$CL$156,E87+1,0)</f>
        <v>713</v>
      </c>
      <c r="F89" s="208">
        <f>VLOOKUP($A$1,Data!$AC$5:$CL$156,F87+1,0)</f>
        <v>606</v>
      </c>
      <c r="G89" s="208">
        <f>VLOOKUP($A$1,Data!$AC$5:$CL$156,G87+1,0)</f>
        <v>797</v>
      </c>
      <c r="H89" s="208">
        <f>VLOOKUP($A$1,Data!$AC$5:$CL$156,H87+1,0)</f>
        <v>579</v>
      </c>
      <c r="I89" s="208">
        <f>VLOOKUP($A$1,Data!$AC$5:$CL$156,I87+1,0)</f>
        <v>410</v>
      </c>
      <c r="J89" s="208">
        <f>VLOOKUP($A$1,Data!$AC$5:$CL$156,J87+1,0)</f>
        <v>719</v>
      </c>
      <c r="K89" s="208">
        <f>VLOOKUP($A$1,Data!$AC$5:$CL$156,K87+1,0)</f>
        <v>693</v>
      </c>
      <c r="L89" s="208">
        <f>VLOOKUP($A$1,Data!$AC$5:$CL$156,L87+1,0)</f>
        <v>831</v>
      </c>
      <c r="M89" s="208">
        <f>VLOOKUP($A$1,Data!$AC$5:$CL$156,M87+1,0)</f>
        <v>837</v>
      </c>
      <c r="N89" s="208">
        <f>VLOOKUP($A$1,Data!$AC$5:$CL$156,N87+1,0)</f>
        <v>576</v>
      </c>
      <c r="O89" s="208">
        <f>VLOOKUP($A$1,Data!$AC$5:$CL$156,O87+1,0)</f>
        <v>560</v>
      </c>
      <c r="P89" s="208">
        <f>VLOOKUP($A$1,Data!$AC$5:$CL$156,P87+1,0)</f>
        <v>587</v>
      </c>
      <c r="Q89" s="208">
        <f>VLOOKUP($A$1,Data!$AC$5:$CL$156,Q87+1,0)</f>
        <v>650</v>
      </c>
      <c r="R89" s="208">
        <f>VLOOKUP($A$1,Data!$AC$5:$CL$156,R87+1,0)</f>
        <v>489</v>
      </c>
      <c r="S89" s="208">
        <f>VLOOKUP($A$1,Data!$AC$5:$CL$156,S87+1,0)</f>
        <v>390</v>
      </c>
      <c r="T89" s="208">
        <f>VLOOKUP($A$1,Data!$AC$5:$CL$156,T87+1,0)</f>
        <v>406</v>
      </c>
      <c r="U89" s="208">
        <f>VLOOKUP($A$1,Data!$AC$5:$CL$156,U87+1,0)</f>
        <v>356</v>
      </c>
      <c r="V89" s="208">
        <f>VLOOKUP($A$1,Data!$AC$5:$CL$156,V87+1,0)</f>
        <v>527</v>
      </c>
      <c r="W89" s="208">
        <f>VLOOKUP($A$1,Data!$AC$5:$CL$156,W87+1,0)</f>
        <v>672</v>
      </c>
      <c r="X89" s="208">
        <f>VLOOKUP($A$1,Data!$AC$5:$CL$156,X87+1,0)</f>
        <v>523</v>
      </c>
      <c r="Y89" s="208">
        <f>VLOOKUP($A$1,Data!$AC$5:$CL$156,Y87+1,0)</f>
        <v>698</v>
      </c>
      <c r="Z89" s="208">
        <f>VLOOKUP($A$1,Data!$AC$5:$CL$156,Z87+1,0)</f>
        <v>802</v>
      </c>
      <c r="AA89" s="208">
        <f>VLOOKUP($A$1,Data!$AC$5:$CL$156,AA87+1,0)</f>
        <v>774</v>
      </c>
      <c r="AB89" s="208">
        <f>VLOOKUP($A$1,Data!$AC$5:$CL$156,AB87+1,0)</f>
        <v>978</v>
      </c>
      <c r="AC89" s="208">
        <f>VLOOKUP($A$1,Data!$AC$5:$CL$156,AC87+1,0)</f>
        <v>817</v>
      </c>
      <c r="AD89" s="208">
        <f>VLOOKUP($A$1,Data!$AC$5:$CL$156,AD87+1,0)</f>
        <v>896</v>
      </c>
      <c r="AE89" s="208">
        <f>VLOOKUP($A$1,Data!$AC$5:$CL$156,AE87+1,0)</f>
        <v>1019</v>
      </c>
      <c r="AF89" s="208">
        <f>VLOOKUP($A$1,Data!$AC$5:$CL$156,AF87+1,0)</f>
        <v>791</v>
      </c>
      <c r="AG89" s="208">
        <f>VLOOKUP($A$1,Data!$AC$5:$CL$156,AG87+1,0)</f>
        <v>1015</v>
      </c>
      <c r="AH89" s="208">
        <f>VLOOKUP($A$1,Data!$AC$5:$CL$156,AH87+1,0)</f>
        <v>703</v>
      </c>
      <c r="AI89" s="209">
        <f>VLOOKUP($A$1,Data!$AC$5:$CL$156,AI87+1,0)</f>
        <v>750</v>
      </c>
      <c r="AJ89" s="207">
        <f>VLOOKUP($A$1,Data!$AC$5:$CL$156,AJ87+1,0)</f>
        <v>1188</v>
      </c>
      <c r="AK89" s="208">
        <f>VLOOKUP($A$1,Data!$AC$5:$CL$156,AK87+1,0)</f>
        <v>1289</v>
      </c>
      <c r="AL89" s="208">
        <f>VLOOKUP($A$1,Data!$AC$5:$CL$156,AL87+1,0)</f>
        <v>1061</v>
      </c>
      <c r="AM89" s="208">
        <f>VLOOKUP($A$1,Data!$AC$5:$CL$156,AM87+1,0)</f>
        <v>1280</v>
      </c>
      <c r="AN89" s="208">
        <f>VLOOKUP($A$1,Data!$AC$5:$CL$156,AN87+1,0)</f>
        <v>1401</v>
      </c>
      <c r="AO89" s="208">
        <f>VLOOKUP($A$1,Data!$AC$5:$CL$156,AO87+1,0)</f>
        <v>1056</v>
      </c>
      <c r="AP89" s="208">
        <f>VLOOKUP($A$1,Data!$AC$5:$CL$156,AP87+1,0)</f>
        <v>1092</v>
      </c>
      <c r="AQ89" s="208">
        <f>VLOOKUP($A$1,Data!$AC$5:$CL$156,AQ87+1,0)</f>
        <v>1034</v>
      </c>
      <c r="AR89" s="208">
        <f>VLOOKUP($A$1,Data!$AC$5:$CL$156,AR87+1,0)</f>
        <v>871</v>
      </c>
      <c r="AS89" s="208">
        <f>VLOOKUP($A$1,Data!$AC$5:$CL$156,AS87+1,0)</f>
        <v>1480</v>
      </c>
      <c r="AT89" s="208">
        <f>VLOOKUP($A$1,Data!$AC$5:$CL$156,AT87+1,0)</f>
        <v>997</v>
      </c>
      <c r="AU89" s="209">
        <f>VLOOKUP($A$1,Data!$AC$5:$CL$156,AU87+1,0)</f>
        <v>977</v>
      </c>
      <c r="AV89" s="322">
        <f t="shared" ref="AV89:BS89" si="2">IF(FORECAST(AV87,$D$89:$AU$89,$D$87:$AU$87)&lt;0,0,FORECAST(AV87,$D$89:$AU$89,$D$87:$AU$87))</f>
        <v>1149.0570824524314</v>
      </c>
      <c r="AW89" s="323">
        <f t="shared" si="2"/>
        <v>1164.329316420014</v>
      </c>
      <c r="AX89" s="323">
        <f t="shared" si="2"/>
        <v>1179.6015503875969</v>
      </c>
      <c r="AY89" s="323">
        <f t="shared" si="2"/>
        <v>1194.8737843551796</v>
      </c>
      <c r="AZ89" s="323">
        <f t="shared" si="2"/>
        <v>1210.1460183227625</v>
      </c>
      <c r="BA89" s="323">
        <f t="shared" si="2"/>
        <v>1225.4182522903452</v>
      </c>
      <c r="BB89" s="323">
        <f t="shared" si="2"/>
        <v>1240.6904862579281</v>
      </c>
      <c r="BC89" s="323">
        <f t="shared" si="2"/>
        <v>1255.9627202255108</v>
      </c>
      <c r="BD89" s="323">
        <f t="shared" si="2"/>
        <v>1271.2349541930937</v>
      </c>
      <c r="BE89" s="323">
        <f t="shared" si="2"/>
        <v>1286.5071881606766</v>
      </c>
      <c r="BF89" s="323">
        <f t="shared" si="2"/>
        <v>1301.7794221282593</v>
      </c>
      <c r="BG89" s="323">
        <f t="shared" si="2"/>
        <v>1317.0516560958422</v>
      </c>
      <c r="BH89" s="323">
        <f t="shared" si="2"/>
        <v>1332.3238900634249</v>
      </c>
      <c r="BI89" s="323">
        <f t="shared" si="2"/>
        <v>1347.5961240310078</v>
      </c>
      <c r="BJ89" s="323">
        <f t="shared" si="2"/>
        <v>1362.8683579985905</v>
      </c>
      <c r="BK89" s="323">
        <f t="shared" si="2"/>
        <v>1378.1405919661734</v>
      </c>
      <c r="BL89" s="323">
        <f t="shared" si="2"/>
        <v>1393.4128259337563</v>
      </c>
      <c r="BM89" s="323">
        <f t="shared" si="2"/>
        <v>1408.6850599013389</v>
      </c>
      <c r="BN89" s="323">
        <f t="shared" si="2"/>
        <v>1423.9572938689219</v>
      </c>
      <c r="BO89" s="323">
        <f t="shared" si="2"/>
        <v>1439.2295278365045</v>
      </c>
      <c r="BP89" s="323">
        <f t="shared" si="2"/>
        <v>1454.5017618040874</v>
      </c>
      <c r="BQ89" s="323">
        <f t="shared" si="2"/>
        <v>1469.7739957716701</v>
      </c>
      <c r="BR89" s="323">
        <f t="shared" si="2"/>
        <v>1485.046229739253</v>
      </c>
      <c r="BS89" s="324">
        <f t="shared" si="2"/>
        <v>1500.3184637068357</v>
      </c>
      <c r="BT89" s="721"/>
      <c r="BU89" s="695"/>
    </row>
    <row r="90" spans="2:73">
      <c r="C90" s="667" t="s">
        <v>1490</v>
      </c>
      <c r="D90" s="623">
        <f>D89</f>
        <v>549</v>
      </c>
      <c r="E90" s="623">
        <f t="shared" ref="E90:AU90" si="3">E89</f>
        <v>713</v>
      </c>
      <c r="F90" s="623">
        <f t="shared" si="3"/>
        <v>606</v>
      </c>
      <c r="G90" s="623">
        <f t="shared" si="3"/>
        <v>797</v>
      </c>
      <c r="H90" s="623">
        <f t="shared" si="3"/>
        <v>579</v>
      </c>
      <c r="I90" s="623">
        <f t="shared" si="3"/>
        <v>410</v>
      </c>
      <c r="J90" s="623">
        <f t="shared" si="3"/>
        <v>719</v>
      </c>
      <c r="K90" s="623">
        <f t="shared" si="3"/>
        <v>693</v>
      </c>
      <c r="L90" s="623">
        <f t="shared" si="3"/>
        <v>831</v>
      </c>
      <c r="M90" s="623">
        <f t="shared" si="3"/>
        <v>837</v>
      </c>
      <c r="N90" s="623">
        <f t="shared" si="3"/>
        <v>576</v>
      </c>
      <c r="O90" s="623">
        <f t="shared" si="3"/>
        <v>560</v>
      </c>
      <c r="P90" s="623">
        <f t="shared" si="3"/>
        <v>587</v>
      </c>
      <c r="Q90" s="623">
        <f t="shared" si="3"/>
        <v>650</v>
      </c>
      <c r="R90" s="623">
        <f t="shared" si="3"/>
        <v>489</v>
      </c>
      <c r="S90" s="623">
        <f t="shared" si="3"/>
        <v>390</v>
      </c>
      <c r="T90" s="623">
        <f t="shared" si="3"/>
        <v>406</v>
      </c>
      <c r="U90" s="623">
        <f t="shared" si="3"/>
        <v>356</v>
      </c>
      <c r="V90" s="623">
        <f t="shared" si="3"/>
        <v>527</v>
      </c>
      <c r="W90" s="623">
        <f t="shared" si="3"/>
        <v>672</v>
      </c>
      <c r="X90" s="623">
        <f t="shared" si="3"/>
        <v>523</v>
      </c>
      <c r="Y90" s="623">
        <f t="shared" si="3"/>
        <v>698</v>
      </c>
      <c r="Z90" s="623">
        <f t="shared" si="3"/>
        <v>802</v>
      </c>
      <c r="AA90" s="623">
        <f t="shared" si="3"/>
        <v>774</v>
      </c>
      <c r="AB90" s="623">
        <f t="shared" si="3"/>
        <v>978</v>
      </c>
      <c r="AC90" s="623">
        <f t="shared" si="3"/>
        <v>817</v>
      </c>
      <c r="AD90" s="623">
        <f t="shared" si="3"/>
        <v>896</v>
      </c>
      <c r="AE90" s="623">
        <f t="shared" si="3"/>
        <v>1019</v>
      </c>
      <c r="AF90" s="623">
        <f t="shared" si="3"/>
        <v>791</v>
      </c>
      <c r="AG90" s="623">
        <f t="shared" si="3"/>
        <v>1015</v>
      </c>
      <c r="AH90" s="623">
        <f t="shared" si="3"/>
        <v>703</v>
      </c>
      <c r="AI90" s="623">
        <f t="shared" si="3"/>
        <v>750</v>
      </c>
      <c r="AJ90" s="623">
        <f t="shared" si="3"/>
        <v>1188</v>
      </c>
      <c r="AK90" s="623">
        <f t="shared" si="3"/>
        <v>1289</v>
      </c>
      <c r="AL90" s="623">
        <f t="shared" si="3"/>
        <v>1061</v>
      </c>
      <c r="AM90" s="623">
        <f t="shared" si="3"/>
        <v>1280</v>
      </c>
      <c r="AN90" s="623">
        <f t="shared" si="3"/>
        <v>1401</v>
      </c>
      <c r="AO90" s="623">
        <f t="shared" si="3"/>
        <v>1056</v>
      </c>
      <c r="AP90" s="623">
        <f t="shared" si="3"/>
        <v>1092</v>
      </c>
      <c r="AQ90" s="623">
        <f t="shared" si="3"/>
        <v>1034</v>
      </c>
      <c r="AR90" s="623">
        <f t="shared" si="3"/>
        <v>871</v>
      </c>
      <c r="AS90" s="623">
        <f t="shared" si="3"/>
        <v>1480</v>
      </c>
      <c r="AT90" s="623">
        <f t="shared" si="3"/>
        <v>997</v>
      </c>
      <c r="AU90" s="623">
        <f t="shared" si="3"/>
        <v>977</v>
      </c>
      <c r="AV90" s="228">
        <f>'6. HWB Supporting Metrics'!$G30/3</f>
        <v>1034</v>
      </c>
      <c r="AW90" s="228">
        <f>'6. HWB Supporting Metrics'!$G30/3</f>
        <v>1034</v>
      </c>
      <c r="AX90" s="228">
        <f>'6. HWB Supporting Metrics'!$G30/3</f>
        <v>1034</v>
      </c>
      <c r="AY90" s="228">
        <f>'6. HWB Supporting Metrics'!$H30/3</f>
        <v>1165.2600903395016</v>
      </c>
      <c r="AZ90" s="228">
        <f>'6. HWB Supporting Metrics'!$H30/3</f>
        <v>1165.2600903395016</v>
      </c>
      <c r="BA90" s="228">
        <f>'6. HWB Supporting Metrics'!$H30/3</f>
        <v>1165.2600903395016</v>
      </c>
      <c r="BB90" s="228">
        <f>'6. HWB Supporting Metrics'!$I30/3</f>
        <v>934.51551799504603</v>
      </c>
      <c r="BC90" s="228">
        <f>'6. HWB Supporting Metrics'!$I30/3</f>
        <v>934.51551799504603</v>
      </c>
      <c r="BD90" s="228">
        <f>'6. HWB Supporting Metrics'!$I30/3</f>
        <v>934.51551799504603</v>
      </c>
      <c r="BE90" s="228">
        <f>'6. HWB Supporting Metrics'!$J30/3</f>
        <v>1077.0158822672302</v>
      </c>
      <c r="BF90" s="228">
        <f>'6. HWB Supporting Metrics'!$J30/3</f>
        <v>1077.0158822672302</v>
      </c>
      <c r="BG90" s="228">
        <f>'6. HWB Supporting Metrics'!$J30/3</f>
        <v>1077.0158822672302</v>
      </c>
      <c r="BH90" s="228">
        <f>'6. HWB Supporting Metrics'!$K30/3</f>
        <v>1003.3333333333334</v>
      </c>
      <c r="BI90" s="228">
        <f>'6. HWB Supporting Metrics'!$K30/3</f>
        <v>1003.3333333333334</v>
      </c>
      <c r="BJ90" s="228">
        <f>'6. HWB Supporting Metrics'!$K30/3</f>
        <v>1003.3333333333334</v>
      </c>
      <c r="BK90" s="228">
        <f>'6. HWB Supporting Metrics'!$L30/3</f>
        <v>1129.8666763805916</v>
      </c>
      <c r="BL90" s="228">
        <f>'6. HWB Supporting Metrics'!$L30/3</f>
        <v>1129.8666763805916</v>
      </c>
      <c r="BM90" s="228">
        <f>'6. HWB Supporting Metrics'!$L30/3</f>
        <v>1129.8666763805916</v>
      </c>
      <c r="BN90" s="228">
        <f>'6. HWB Supporting Metrics'!$M30/3</f>
        <v>906.13070085968241</v>
      </c>
      <c r="BO90" s="228">
        <f>'6. HWB Supporting Metrics'!$M30/3</f>
        <v>906.13070085968241</v>
      </c>
      <c r="BP90" s="228">
        <f>'6. HWB Supporting Metrics'!$M30/3</f>
        <v>906.13070085968241</v>
      </c>
      <c r="BQ90" s="228">
        <f>'6. HWB Supporting Metrics'!$N30/3</f>
        <v>1044.3027830394872</v>
      </c>
      <c r="BR90" s="228">
        <f>'6. HWB Supporting Metrics'!$N30/3</f>
        <v>1044.3027830394872</v>
      </c>
      <c r="BS90" s="228">
        <f>'6. HWB Supporting Metrics'!$N30/3</f>
        <v>1044.3027830394872</v>
      </c>
    </row>
    <row r="100" spans="1:15">
      <c r="A100" s="715"/>
    </row>
    <row r="107" spans="1:15" ht="15.75" thickBot="1"/>
    <row r="108" spans="1:15" ht="18.850000000000001" customHeight="1">
      <c r="B108" s="896" t="s">
        <v>806</v>
      </c>
      <c r="C108" s="897"/>
      <c r="D108" s="902" t="s">
        <v>998</v>
      </c>
      <c r="E108" s="903"/>
      <c r="F108" s="903"/>
      <c r="G108" s="903"/>
      <c r="H108" s="903"/>
      <c r="I108" s="903"/>
      <c r="J108" s="903"/>
      <c r="K108" s="904"/>
    </row>
    <row r="109" spans="1:15" ht="15.05" customHeight="1">
      <c r="B109" s="898"/>
      <c r="C109" s="899"/>
      <c r="D109" s="905" t="s">
        <v>994</v>
      </c>
      <c r="E109" s="906"/>
      <c r="F109" s="906"/>
      <c r="G109" s="907"/>
      <c r="H109" s="908" t="s">
        <v>995</v>
      </c>
      <c r="I109" s="906"/>
      <c r="J109" s="906"/>
      <c r="K109" s="909"/>
      <c r="M109" s="699"/>
      <c r="N109" s="700"/>
      <c r="O109" s="701"/>
    </row>
    <row r="110" spans="1:15" ht="15.75" thickBot="1">
      <c r="B110" s="900"/>
      <c r="C110" s="901"/>
      <c r="D110" s="722" t="s">
        <v>999</v>
      </c>
      <c r="E110" s="723" t="s">
        <v>1000</v>
      </c>
      <c r="F110" s="723" t="s">
        <v>1001</v>
      </c>
      <c r="G110" s="723" t="s">
        <v>1002</v>
      </c>
      <c r="H110" s="723" t="s">
        <v>999</v>
      </c>
      <c r="I110" s="723" t="s">
        <v>1000</v>
      </c>
      <c r="J110" s="723" t="s">
        <v>1001</v>
      </c>
      <c r="K110" s="724" t="s">
        <v>1002</v>
      </c>
      <c r="M110" s="699"/>
      <c r="N110" s="705"/>
      <c r="O110" s="705"/>
    </row>
    <row r="111" spans="1:15" ht="17.2" customHeight="1">
      <c r="B111" s="890" t="s">
        <v>1181</v>
      </c>
      <c r="C111" s="725" t="s">
        <v>1336</v>
      </c>
      <c r="D111" s="360">
        <f t="shared" ref="D111:K111" si="4">D112/D113*100000</f>
        <v>1363.7648731546872</v>
      </c>
      <c r="E111" s="312">
        <f t="shared" si="4"/>
        <v>1417.4294230183684</v>
      </c>
      <c r="F111" s="312">
        <f t="shared" si="4"/>
        <v>1471.0939728820499</v>
      </c>
      <c r="G111" s="312">
        <f t="shared" si="4"/>
        <v>1514.9123555913766</v>
      </c>
      <c r="H111" s="312">
        <f t="shared" si="4"/>
        <v>1568.230365251912</v>
      </c>
      <c r="I111" s="312">
        <f t="shared" si="4"/>
        <v>1621.5483749124471</v>
      </c>
      <c r="J111" s="312">
        <f t="shared" si="4"/>
        <v>1674.8663845729823</v>
      </c>
      <c r="K111" s="313">
        <f t="shared" si="4"/>
        <v>1717.9066824727768</v>
      </c>
      <c r="M111" s="707"/>
      <c r="N111" s="708"/>
      <c r="O111" s="708"/>
    </row>
    <row r="112" spans="1:15">
      <c r="B112" s="891"/>
      <c r="C112" s="726" t="s">
        <v>811</v>
      </c>
      <c r="D112" s="314">
        <f>SUM(AV89:AX89)</f>
        <v>3492.9879492600421</v>
      </c>
      <c r="E112" s="315">
        <f>SUM(AY89:BA89)</f>
        <v>3630.4380549682874</v>
      </c>
      <c r="F112" s="315">
        <f>SUM(BB89:BD89)</f>
        <v>3767.8881606765326</v>
      </c>
      <c r="G112" s="315">
        <f>SUM(BE89:BG89)</f>
        <v>3905.3382663847779</v>
      </c>
      <c r="H112" s="315">
        <f>SUM(BH89:BJ89)</f>
        <v>4042.7883720930231</v>
      </c>
      <c r="I112" s="315">
        <f>SUM(BK89:BM89)</f>
        <v>4180.2384778012683</v>
      </c>
      <c r="J112" s="315">
        <f>SUM(BN89:BP89)</f>
        <v>4317.6885835095136</v>
      </c>
      <c r="K112" s="316">
        <f>SUM(BQ89:BS89)</f>
        <v>4455.1386892177588</v>
      </c>
      <c r="M112" s="707"/>
      <c r="N112" s="710"/>
      <c r="O112" s="710"/>
    </row>
    <row r="113" spans="2:15" ht="15.75" thickBot="1">
      <c r="B113" s="892"/>
      <c r="C113" s="727" t="s">
        <v>812</v>
      </c>
      <c r="D113" s="317">
        <f>VLOOKUP($A$1,Data!$AC$5:$CL$156,60,0)</f>
        <v>256128.31200000003</v>
      </c>
      <c r="E113" s="318">
        <f>VLOOKUP($A$1,Data!$AC$5:$CL$156,60,0)</f>
        <v>256128.31200000003</v>
      </c>
      <c r="F113" s="318">
        <f>VLOOKUP($A$1,Data!$AC$5:$CL$156,60,0)</f>
        <v>256128.31200000003</v>
      </c>
      <c r="G113" s="318">
        <f>VLOOKUP($A$1,Data!$AC$5:$CL$156,61,0)</f>
        <v>257793.01699999999</v>
      </c>
      <c r="H113" s="318">
        <f>VLOOKUP($A$1,Data!$AC$5:$CL$156,61,0)</f>
        <v>257793.01699999999</v>
      </c>
      <c r="I113" s="318">
        <f>VLOOKUP($A$1,Data!$AC$5:$CL$156,61,0)</f>
        <v>257793.01699999999</v>
      </c>
      <c r="J113" s="318">
        <f>VLOOKUP($A$1,Data!$AC$5:$CL$156,61,0)</f>
        <v>257793.01699999999</v>
      </c>
      <c r="K113" s="319">
        <f>VLOOKUP($A$1,Data!$AC$5:$CL$156,62,0)</f>
        <v>259335.31399999998</v>
      </c>
      <c r="M113" s="707"/>
      <c r="N113" s="710"/>
      <c r="O113" s="710"/>
    </row>
    <row r="114" spans="2:15">
      <c r="B114" s="728"/>
      <c r="C114" s="707"/>
      <c r="D114" s="729"/>
      <c r="E114" s="729"/>
      <c r="F114" s="729"/>
      <c r="G114" s="729"/>
      <c r="H114" s="729"/>
      <c r="I114" s="729"/>
      <c r="J114" s="729"/>
      <c r="K114" s="729"/>
    </row>
    <row r="115" spans="2:15">
      <c r="B115" s="660" t="s">
        <v>1003</v>
      </c>
      <c r="C115" s="707"/>
      <c r="D115" s="729"/>
      <c r="E115" s="729"/>
      <c r="F115" s="729"/>
      <c r="G115" s="729"/>
      <c r="H115" s="729"/>
      <c r="I115" s="729"/>
      <c r="J115" s="729"/>
      <c r="K115" s="729"/>
    </row>
    <row r="116" spans="2:15">
      <c r="B116" s="728"/>
      <c r="C116" s="707"/>
      <c r="D116" s="729"/>
      <c r="E116" s="729"/>
      <c r="F116" s="729"/>
      <c r="G116" s="729"/>
      <c r="H116" s="729"/>
      <c r="I116" s="729"/>
      <c r="J116" s="729"/>
      <c r="K116" s="729"/>
    </row>
    <row r="117" spans="2:15">
      <c r="B117" s="728"/>
      <c r="C117" s="707"/>
      <c r="D117" s="729"/>
      <c r="E117" s="729"/>
      <c r="F117" s="729"/>
      <c r="G117" s="729"/>
      <c r="H117" s="729"/>
      <c r="I117" s="729"/>
      <c r="J117" s="729"/>
      <c r="K117" s="729"/>
    </row>
    <row r="118" spans="2:15">
      <c r="B118" s="728"/>
      <c r="C118" s="707"/>
      <c r="D118" s="729"/>
      <c r="E118" s="729"/>
      <c r="F118" s="729"/>
      <c r="G118" s="729"/>
      <c r="H118" s="729"/>
      <c r="I118" s="729"/>
      <c r="J118" s="729"/>
      <c r="K118" s="729"/>
    </row>
    <row r="119" spans="2:15">
      <c r="B119" s="728"/>
      <c r="C119" s="707"/>
      <c r="D119" s="729"/>
      <c r="E119" s="729"/>
      <c r="F119" s="729"/>
      <c r="G119" s="729"/>
      <c r="H119" s="729"/>
      <c r="I119" s="729"/>
      <c r="J119" s="729"/>
      <c r="K119" s="729"/>
    </row>
    <row r="120" spans="2:15">
      <c r="C120" s="707"/>
    </row>
  </sheetData>
  <sheetProtection password="DABD" sheet="1" objects="1" scenarios="1" formatColumns="0" formatRows="0" autoFilter="0"/>
  <mergeCells count="20">
    <mergeCell ref="B30:C32"/>
    <mergeCell ref="B86:C88"/>
    <mergeCell ref="D86:AI86"/>
    <mergeCell ref="G71:K74"/>
    <mergeCell ref="A1:B1"/>
    <mergeCell ref="B41:C42"/>
    <mergeCell ref="B43:B45"/>
    <mergeCell ref="B64:C65"/>
    <mergeCell ref="B66:B68"/>
    <mergeCell ref="A3:J3"/>
    <mergeCell ref="B8:C10"/>
    <mergeCell ref="B33:B35"/>
    <mergeCell ref="F41:F42"/>
    <mergeCell ref="B111:B113"/>
    <mergeCell ref="AJ86:AU86"/>
    <mergeCell ref="AV86:BS86"/>
    <mergeCell ref="B108:C110"/>
    <mergeCell ref="D108:K108"/>
    <mergeCell ref="D109:G109"/>
    <mergeCell ref="H109:K109"/>
  </mergeCells>
  <pageMargins left="0.70866141732283472" right="0.70866141732283472" top="0.74803149606299213" bottom="0.74803149606299213" header="0.31496062992125984" footer="0.31496062992125984"/>
  <pageSetup paperSize="8" scale="59" fitToHeight="0" orientation="portrait" r:id="rId1"/>
  <colBreaks count="1" manualBreakCount="1">
    <brk id="15" max="1048575" man="1"/>
  </colBreaks>
  <ignoredErrors>
    <ignoredError sqref="D112:K112 A1 L111 AV89:BS89 D44:E44 D12:J12 G44:H44 G67:H67 G68:H68 D46:H46 D90:AU90 D69:H69 L12:O12"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43"/>
  <sheetViews>
    <sheetView zoomScaleNormal="100" workbookViewId="0">
      <selection activeCell="A25" sqref="A25:XFD25"/>
    </sheetView>
  </sheetViews>
  <sheetFormatPr defaultColWidth="9.109375" defaultRowHeight="15.05"/>
  <cols>
    <col min="1" max="1" width="14.109375" style="14" customWidth="1"/>
    <col min="2" max="2" width="32.5546875" style="14" customWidth="1"/>
    <col min="3" max="3" width="25.109375" style="733" customWidth="1"/>
    <col min="4" max="4" width="102.109375" style="733" customWidth="1"/>
    <col min="5" max="16384" width="9.109375" style="14"/>
  </cols>
  <sheetData>
    <row r="1" spans="1:4" ht="20.3">
      <c r="A1" s="732" t="s">
        <v>1784</v>
      </c>
    </row>
    <row r="3" spans="1:4">
      <c r="A3" s="395" t="s">
        <v>1785</v>
      </c>
      <c r="B3" s="395" t="s">
        <v>1786</v>
      </c>
      <c r="C3" s="395" t="s">
        <v>1787</v>
      </c>
      <c r="D3" s="734" t="s">
        <v>1154</v>
      </c>
    </row>
    <row r="4" spans="1:4">
      <c r="A4" s="735">
        <v>41848</v>
      </c>
      <c r="B4" s="21" t="s">
        <v>1788</v>
      </c>
      <c r="C4" s="21" t="s">
        <v>1789</v>
      </c>
      <c r="D4" s="736" t="s">
        <v>1790</v>
      </c>
    </row>
    <row r="5" spans="1:4">
      <c r="A5" s="737">
        <v>41848</v>
      </c>
      <c r="B5" s="738" t="s">
        <v>1791</v>
      </c>
      <c r="C5" s="738" t="s">
        <v>1792</v>
      </c>
      <c r="D5" s="739" t="s">
        <v>1793</v>
      </c>
    </row>
    <row r="6" spans="1:4">
      <c r="A6" s="737">
        <v>41848</v>
      </c>
      <c r="B6" s="738" t="s">
        <v>1794</v>
      </c>
      <c r="C6" s="738" t="s">
        <v>1795</v>
      </c>
      <c r="D6" s="739" t="s">
        <v>1796</v>
      </c>
    </row>
    <row r="7" spans="1:4">
      <c r="A7" s="737">
        <v>41848</v>
      </c>
      <c r="B7" s="738" t="s">
        <v>1797</v>
      </c>
      <c r="C7" s="738" t="s">
        <v>1798</v>
      </c>
      <c r="D7" s="739" t="s">
        <v>1799</v>
      </c>
    </row>
    <row r="8" spans="1:4">
      <c r="A8" s="737">
        <v>41849</v>
      </c>
      <c r="B8" s="738" t="s">
        <v>1797</v>
      </c>
      <c r="C8" s="738" t="s">
        <v>1800</v>
      </c>
      <c r="D8" s="739" t="s">
        <v>1801</v>
      </c>
    </row>
    <row r="9" spans="1:4">
      <c r="A9" s="737">
        <v>41848</v>
      </c>
      <c r="B9" s="738" t="s">
        <v>1802</v>
      </c>
      <c r="C9" s="738" t="s">
        <v>1803</v>
      </c>
      <c r="D9" s="739" t="s">
        <v>1804</v>
      </c>
    </row>
    <row r="10" spans="1:4">
      <c r="A10" s="737">
        <v>41850</v>
      </c>
      <c r="B10" s="738" t="s">
        <v>1805</v>
      </c>
      <c r="C10" s="738"/>
      <c r="D10" s="739" t="s">
        <v>1806</v>
      </c>
    </row>
    <row r="11" spans="1:4">
      <c r="A11" s="737">
        <v>41850</v>
      </c>
      <c r="B11" s="738" t="s">
        <v>1807</v>
      </c>
      <c r="C11" s="738" t="s">
        <v>1808</v>
      </c>
      <c r="D11" s="739" t="s">
        <v>1809</v>
      </c>
    </row>
    <row r="12" spans="1:4">
      <c r="A12" s="737">
        <v>41850</v>
      </c>
      <c r="B12" s="738" t="s">
        <v>1807</v>
      </c>
      <c r="C12" s="738" t="s">
        <v>1810</v>
      </c>
      <c r="D12" s="739" t="s">
        <v>1811</v>
      </c>
    </row>
    <row r="13" spans="1:4">
      <c r="A13" s="737">
        <v>41850</v>
      </c>
      <c r="B13" s="738" t="s">
        <v>1812</v>
      </c>
      <c r="C13" s="738" t="s">
        <v>1813</v>
      </c>
      <c r="D13" s="739" t="s">
        <v>1814</v>
      </c>
    </row>
    <row r="14" spans="1:4">
      <c r="A14" s="737">
        <v>41850</v>
      </c>
      <c r="B14" s="738" t="s">
        <v>1815</v>
      </c>
      <c r="C14" s="738" t="s">
        <v>1816</v>
      </c>
      <c r="D14" s="739" t="s">
        <v>1817</v>
      </c>
    </row>
    <row r="15" spans="1:4">
      <c r="A15" s="737">
        <v>41850</v>
      </c>
      <c r="B15" s="738" t="s">
        <v>1818</v>
      </c>
      <c r="C15" s="738" t="s">
        <v>1819</v>
      </c>
      <c r="D15" s="739" t="s">
        <v>1820</v>
      </c>
    </row>
    <row r="16" spans="1:4">
      <c r="A16" s="737">
        <v>41851</v>
      </c>
      <c r="B16" s="738" t="s">
        <v>1791</v>
      </c>
      <c r="C16" s="738" t="s">
        <v>1821</v>
      </c>
      <c r="D16" s="739" t="s">
        <v>1822</v>
      </c>
    </row>
    <row r="17" spans="1:4">
      <c r="A17" s="737">
        <v>41852</v>
      </c>
      <c r="B17" s="738" t="s">
        <v>1818</v>
      </c>
      <c r="C17" s="738" t="s">
        <v>1823</v>
      </c>
      <c r="D17" s="739" t="s">
        <v>1824</v>
      </c>
    </row>
    <row r="18" spans="1:4" ht="29.3" customHeight="1">
      <c r="A18" s="737">
        <v>41852</v>
      </c>
      <c r="B18" s="738" t="s">
        <v>1818</v>
      </c>
      <c r="C18" s="738" t="s">
        <v>1825</v>
      </c>
      <c r="D18" s="739" t="s">
        <v>1826</v>
      </c>
    </row>
    <row r="19" spans="1:4">
      <c r="A19" s="737">
        <v>41852</v>
      </c>
      <c r="B19" s="738" t="s">
        <v>1818</v>
      </c>
      <c r="C19" s="738" t="s">
        <v>1825</v>
      </c>
      <c r="D19" s="739" t="s">
        <v>1827</v>
      </c>
    </row>
    <row r="20" spans="1:4">
      <c r="A20" s="737">
        <v>41852</v>
      </c>
      <c r="B20" s="738" t="s">
        <v>1818</v>
      </c>
      <c r="C20" s="738" t="s">
        <v>1819</v>
      </c>
      <c r="D20" s="739" t="s">
        <v>1828</v>
      </c>
    </row>
    <row r="21" spans="1:4">
      <c r="A21" s="737">
        <v>41852</v>
      </c>
      <c r="B21" s="738" t="s">
        <v>1829</v>
      </c>
      <c r="C21" s="739" t="s">
        <v>1830</v>
      </c>
      <c r="D21" s="739" t="s">
        <v>1831</v>
      </c>
    </row>
    <row r="22" spans="1:4">
      <c r="A22" s="740">
        <v>41852</v>
      </c>
      <c r="B22" s="741" t="s">
        <v>1829</v>
      </c>
      <c r="C22" s="742" t="s">
        <v>1832</v>
      </c>
      <c r="D22" s="742" t="s">
        <v>1833</v>
      </c>
    </row>
    <row r="23" spans="1:4">
      <c r="A23" s="746" t="s">
        <v>1834</v>
      </c>
      <c r="B23" s="747"/>
      <c r="C23" s="748"/>
      <c r="D23" s="748"/>
    </row>
    <row r="24" spans="1:4">
      <c r="A24" s="737">
        <v>41864</v>
      </c>
      <c r="B24" s="749" t="s">
        <v>1829</v>
      </c>
      <c r="C24" s="750" t="s">
        <v>1842</v>
      </c>
      <c r="D24" s="751" t="s">
        <v>1843</v>
      </c>
    </row>
    <row r="25" spans="1:4">
      <c r="A25" s="737">
        <v>41864</v>
      </c>
      <c r="B25" s="749" t="s">
        <v>1829</v>
      </c>
      <c r="C25" s="739" t="s">
        <v>1844</v>
      </c>
      <c r="D25" s="739" t="s">
        <v>1845</v>
      </c>
    </row>
    <row r="26" spans="1:4">
      <c r="A26" s="737">
        <v>41864</v>
      </c>
      <c r="B26" s="749" t="s">
        <v>1829</v>
      </c>
      <c r="C26" s="739" t="s">
        <v>1846</v>
      </c>
      <c r="D26" s="739" t="s">
        <v>1847</v>
      </c>
    </row>
    <row r="27" spans="1:4">
      <c r="A27" s="737">
        <v>41864</v>
      </c>
      <c r="B27" s="738" t="s">
        <v>1848</v>
      </c>
      <c r="C27" s="739" t="s">
        <v>1846</v>
      </c>
      <c r="D27" s="739" t="s">
        <v>1849</v>
      </c>
    </row>
    <row r="28" spans="1:4">
      <c r="A28" s="737">
        <v>41864</v>
      </c>
      <c r="B28" s="738" t="s">
        <v>1797</v>
      </c>
      <c r="C28" s="739" t="s">
        <v>1850</v>
      </c>
      <c r="D28" s="739" t="s">
        <v>1851</v>
      </c>
    </row>
    <row r="29" spans="1:4">
      <c r="A29" s="737">
        <v>41864</v>
      </c>
      <c r="B29" s="738" t="s">
        <v>1794</v>
      </c>
      <c r="C29" s="739" t="s">
        <v>1795</v>
      </c>
      <c r="D29" s="739" t="s">
        <v>1852</v>
      </c>
    </row>
    <row r="30" spans="1:4">
      <c r="A30" s="737">
        <v>41864</v>
      </c>
      <c r="B30" s="738" t="s">
        <v>1807</v>
      </c>
      <c r="C30" s="739" t="s">
        <v>1853</v>
      </c>
      <c r="D30" s="739" t="s">
        <v>1854</v>
      </c>
    </row>
    <row r="31" spans="1:4">
      <c r="A31" s="737">
        <v>41864</v>
      </c>
      <c r="B31" s="738" t="s">
        <v>1807</v>
      </c>
      <c r="C31" s="739" t="s">
        <v>1855</v>
      </c>
      <c r="D31" s="739" t="s">
        <v>1856</v>
      </c>
    </row>
    <row r="32" spans="1:4">
      <c r="A32" s="737">
        <v>41864</v>
      </c>
      <c r="B32" s="738" t="s">
        <v>1807</v>
      </c>
      <c r="C32" s="739" t="s">
        <v>1857</v>
      </c>
      <c r="D32" s="739" t="s">
        <v>1858</v>
      </c>
    </row>
    <row r="33" spans="1:4">
      <c r="A33" s="737">
        <v>41864</v>
      </c>
      <c r="B33" s="738" t="s">
        <v>1807</v>
      </c>
      <c r="C33" s="739" t="s">
        <v>1859</v>
      </c>
      <c r="D33" s="739" t="s">
        <v>1860</v>
      </c>
    </row>
    <row r="34" spans="1:4">
      <c r="A34" s="737">
        <v>41864</v>
      </c>
      <c r="B34" s="738" t="s">
        <v>1807</v>
      </c>
      <c r="C34" s="739" t="s">
        <v>1861</v>
      </c>
      <c r="D34" s="739" t="s">
        <v>1862</v>
      </c>
    </row>
    <row r="35" spans="1:4">
      <c r="A35" s="737">
        <v>41864</v>
      </c>
      <c r="B35" s="738" t="s">
        <v>1807</v>
      </c>
      <c r="C35" s="739" t="s">
        <v>1861</v>
      </c>
      <c r="D35" s="739" t="s">
        <v>1863</v>
      </c>
    </row>
    <row r="36" spans="1:4">
      <c r="A36" s="737">
        <v>41864</v>
      </c>
      <c r="B36" s="738" t="s">
        <v>1807</v>
      </c>
      <c r="C36" s="739" t="s">
        <v>1864</v>
      </c>
      <c r="D36" s="739" t="s">
        <v>1865</v>
      </c>
    </row>
    <row r="37" spans="1:4">
      <c r="A37" s="737">
        <v>41864</v>
      </c>
      <c r="B37" s="738" t="s">
        <v>1807</v>
      </c>
      <c r="C37" s="739" t="s">
        <v>1864</v>
      </c>
      <c r="D37" s="739" t="s">
        <v>1863</v>
      </c>
    </row>
    <row r="38" spans="1:4">
      <c r="A38" s="737">
        <v>41864</v>
      </c>
      <c r="B38" s="738" t="s">
        <v>1807</v>
      </c>
      <c r="C38" s="739" t="s">
        <v>1866</v>
      </c>
      <c r="D38" s="739" t="s">
        <v>1867</v>
      </c>
    </row>
    <row r="39" spans="1:4">
      <c r="A39" s="737">
        <v>41864</v>
      </c>
      <c r="B39" s="738" t="s">
        <v>1807</v>
      </c>
      <c r="C39" s="739" t="s">
        <v>1868</v>
      </c>
      <c r="D39" s="739" t="s">
        <v>1869</v>
      </c>
    </row>
    <row r="40" spans="1:4">
      <c r="A40" s="737">
        <v>41864</v>
      </c>
      <c r="B40" s="738" t="s">
        <v>1818</v>
      </c>
      <c r="C40" s="739" t="s">
        <v>1870</v>
      </c>
      <c r="D40" s="752" t="s">
        <v>1871</v>
      </c>
    </row>
    <row r="41" spans="1:4">
      <c r="A41" s="737">
        <v>41864</v>
      </c>
      <c r="B41" s="738" t="s">
        <v>1818</v>
      </c>
      <c r="C41" s="739" t="s">
        <v>1872</v>
      </c>
      <c r="D41" s="752" t="s">
        <v>1873</v>
      </c>
    </row>
    <row r="42" spans="1:4">
      <c r="A42" s="737">
        <v>41864</v>
      </c>
      <c r="B42" s="738" t="s">
        <v>1829</v>
      </c>
      <c r="C42" s="739" t="s">
        <v>1874</v>
      </c>
      <c r="D42" s="753" t="s">
        <v>1875</v>
      </c>
    </row>
    <row r="43" spans="1:4">
      <c r="A43" s="740">
        <v>41864</v>
      </c>
      <c r="B43" s="741" t="s">
        <v>1876</v>
      </c>
      <c r="C43" s="742" t="s">
        <v>1877</v>
      </c>
      <c r="D43" s="754" t="s">
        <v>1878</v>
      </c>
    </row>
  </sheetData>
  <sheetProtection password="DABD" sheet="1" objects="1" scenarios="1" formatColumns="0" formatRows="0" autoFilter="0"/>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348"/>
  <sheetViews>
    <sheetView topLeftCell="H1" workbookViewId="0">
      <selection activeCell="K7" sqref="K7"/>
    </sheetView>
  </sheetViews>
  <sheetFormatPr defaultRowHeight="15.05"/>
  <cols>
    <col min="13" max="13" width="26.33203125" bestFit="1" customWidth="1"/>
    <col min="16" max="17" width="9.109375" style="1"/>
    <col min="26" max="26" width="10" bestFit="1" customWidth="1"/>
    <col min="39" max="39" width="22.5546875" bestFit="1" customWidth="1"/>
    <col min="40" max="40" width="27.6640625" bestFit="1" customWidth="1"/>
    <col min="41" max="41" width="45.88671875" bestFit="1" customWidth="1"/>
    <col min="42" max="42" width="6.5546875" bestFit="1" customWidth="1"/>
    <col min="47" max="47" width="27.6640625" bestFit="1" customWidth="1"/>
    <col min="48" max="48" width="9.5546875" bestFit="1" customWidth="1"/>
    <col min="49" max="49" width="11" bestFit="1" customWidth="1"/>
    <col min="50" max="50" width="22.5546875" bestFit="1" customWidth="1"/>
    <col min="51" max="51" width="27.6640625" bestFit="1" customWidth="1"/>
    <col min="52" max="52" width="45.88671875" bestFit="1" customWidth="1"/>
    <col min="53" max="53" width="10.5546875" bestFit="1" customWidth="1"/>
  </cols>
  <sheetData>
    <row r="1" spans="1:53">
      <c r="A1" s="274"/>
      <c r="B1" s="274"/>
      <c r="C1" s="274"/>
      <c r="D1" s="274"/>
      <c r="E1" s="274"/>
      <c r="F1" s="274"/>
      <c r="G1" s="274"/>
      <c r="H1" s="274"/>
      <c r="I1" s="274"/>
      <c r="J1" s="274"/>
      <c r="K1" s="274"/>
      <c r="L1" s="274"/>
      <c r="M1" s="274"/>
      <c r="N1" s="274"/>
      <c r="O1" s="274"/>
      <c r="P1" s="275"/>
      <c r="Q1" s="275"/>
      <c r="R1" s="274"/>
      <c r="S1" s="274"/>
      <c r="T1" s="274"/>
      <c r="U1" s="274" t="s">
        <v>0</v>
      </c>
      <c r="V1" s="274"/>
      <c r="W1" s="274"/>
      <c r="X1" s="274"/>
      <c r="Y1" s="274"/>
      <c r="Z1" s="274"/>
      <c r="AA1" s="274"/>
      <c r="AB1" s="274"/>
      <c r="AC1" s="274"/>
      <c r="AD1" s="274"/>
      <c r="AE1" s="274"/>
      <c r="AF1" s="274"/>
      <c r="AG1" s="274"/>
      <c r="AH1" s="274"/>
      <c r="AI1" s="274"/>
      <c r="AJ1" s="274"/>
      <c r="AK1" s="274"/>
      <c r="AL1" s="274"/>
      <c r="AO1" t="s">
        <v>1311</v>
      </c>
      <c r="AY1" t="s">
        <v>1004</v>
      </c>
      <c r="AZ1" t="s">
        <v>8</v>
      </c>
      <c r="BA1" t="s">
        <v>1312</v>
      </c>
    </row>
    <row r="2" spans="1:53">
      <c r="A2" s="274"/>
      <c r="B2" s="274" t="s">
        <v>1</v>
      </c>
      <c r="C2" s="274" t="s">
        <v>1</v>
      </c>
      <c r="D2" s="274"/>
      <c r="E2" s="274" t="s">
        <v>2</v>
      </c>
      <c r="F2" s="274"/>
      <c r="G2" s="274"/>
      <c r="H2" s="274"/>
      <c r="I2" s="274"/>
      <c r="J2" s="274"/>
      <c r="K2" s="274" t="s">
        <v>1</v>
      </c>
      <c r="L2" s="274"/>
      <c r="M2" s="274" t="s">
        <v>1</v>
      </c>
      <c r="N2" s="274" t="s">
        <v>1</v>
      </c>
      <c r="O2" s="274"/>
      <c r="P2" s="274" t="s">
        <v>649</v>
      </c>
      <c r="Q2" s="275"/>
      <c r="R2" s="274"/>
      <c r="S2" s="274" t="s">
        <v>3</v>
      </c>
      <c r="T2" s="274"/>
      <c r="U2" s="274" t="s">
        <v>4</v>
      </c>
      <c r="V2" s="274" t="s">
        <v>5</v>
      </c>
      <c r="W2" s="276">
        <v>3173</v>
      </c>
      <c r="X2" s="274">
        <v>10032</v>
      </c>
      <c r="Y2" s="274"/>
      <c r="Z2" s="274"/>
      <c r="AA2" s="274" t="s">
        <v>801</v>
      </c>
      <c r="AB2" s="274"/>
      <c r="AC2" s="274"/>
      <c r="AD2" s="274"/>
      <c r="AE2" s="274" t="s">
        <v>980</v>
      </c>
      <c r="AF2" s="274"/>
      <c r="AG2" s="274" t="s">
        <v>974</v>
      </c>
      <c r="AH2" s="274"/>
      <c r="AI2" s="274"/>
      <c r="AJ2" s="274"/>
      <c r="AK2" s="274"/>
      <c r="AL2" s="274" t="s">
        <v>1</v>
      </c>
      <c r="AM2" t="s">
        <v>1293</v>
      </c>
      <c r="AN2" t="s">
        <v>1004</v>
      </c>
      <c r="AO2" t="s">
        <v>8</v>
      </c>
      <c r="AP2" t="s">
        <v>1294</v>
      </c>
      <c r="AU2" s="511" t="s">
        <v>1306</v>
      </c>
      <c r="AV2" s="510"/>
      <c r="AX2" t="str">
        <f>AY2&amp;COUNTIF($AY2:AY$3,AY2)</f>
        <v>Barking and Dagenham1</v>
      </c>
      <c r="AY2" s="512" t="s">
        <v>9</v>
      </c>
      <c r="AZ2" s="512" t="s">
        <v>1203</v>
      </c>
      <c r="BA2" s="514">
        <v>4184.8649999999998</v>
      </c>
    </row>
    <row r="3" spans="1:53">
      <c r="A3" s="274"/>
      <c r="B3" s="274" t="s">
        <v>6</v>
      </c>
      <c r="C3" s="274" t="s">
        <v>6</v>
      </c>
      <c r="D3" s="274"/>
      <c r="E3" s="274" t="s">
        <v>7</v>
      </c>
      <c r="F3" s="274"/>
      <c r="G3" s="274"/>
      <c r="H3" s="274"/>
      <c r="I3" s="274"/>
      <c r="J3" s="274"/>
      <c r="K3" s="274" t="s">
        <v>8</v>
      </c>
      <c r="L3" s="274"/>
      <c r="M3" s="274" t="s">
        <v>983</v>
      </c>
      <c r="N3" s="274" t="s">
        <v>15</v>
      </c>
      <c r="O3" s="274" t="s">
        <v>650</v>
      </c>
      <c r="P3" s="277" t="s">
        <v>9</v>
      </c>
      <c r="Q3" s="275" t="str">
        <f>O3</f>
        <v>E09000002</v>
      </c>
      <c r="R3" s="274"/>
      <c r="S3" s="274" t="s">
        <v>10</v>
      </c>
      <c r="T3" s="274"/>
      <c r="U3" s="274" t="s">
        <v>11</v>
      </c>
      <c r="V3" s="274" t="s">
        <v>12</v>
      </c>
      <c r="W3" s="276">
        <v>2443</v>
      </c>
      <c r="X3" s="274">
        <v>7321</v>
      </c>
      <c r="Y3" s="274"/>
      <c r="Z3" s="274" t="s">
        <v>650</v>
      </c>
      <c r="AA3" s="277" t="s">
        <v>9</v>
      </c>
      <c r="AB3" s="274" t="s">
        <v>650</v>
      </c>
      <c r="AC3" s="274"/>
      <c r="AD3" s="274"/>
      <c r="AE3" s="274" t="s">
        <v>981</v>
      </c>
      <c r="AF3" s="274"/>
      <c r="AG3" s="274" t="s">
        <v>975</v>
      </c>
      <c r="AH3" s="274"/>
      <c r="AI3" s="274"/>
      <c r="AJ3" s="274"/>
      <c r="AK3" s="274"/>
      <c r="AL3" s="274" t="s">
        <v>1138</v>
      </c>
      <c r="AM3" t="s">
        <v>1538</v>
      </c>
      <c r="AN3" s="447" t="s">
        <v>9</v>
      </c>
      <c r="AO3" s="447" t="s">
        <v>1203</v>
      </c>
      <c r="AP3" s="501">
        <v>13055</v>
      </c>
      <c r="AU3" s="511" t="s">
        <v>1004</v>
      </c>
      <c r="AV3" t="s">
        <v>644</v>
      </c>
      <c r="AX3" t="str">
        <f>AY3&amp;COUNTIF($AY3:AY$3,AY3)</f>
        <v>Barnet1</v>
      </c>
      <c r="AY3" s="512" t="s">
        <v>16</v>
      </c>
      <c r="AZ3" s="512" t="s">
        <v>30</v>
      </c>
      <c r="BA3" s="514">
        <v>6634.3239999999996</v>
      </c>
    </row>
    <row r="4" spans="1:53">
      <c r="A4" s="274"/>
      <c r="B4" s="274" t="s">
        <v>13</v>
      </c>
      <c r="C4" s="274" t="s">
        <v>13</v>
      </c>
      <c r="D4" s="274"/>
      <c r="E4" s="274" t="s">
        <v>14</v>
      </c>
      <c r="F4" s="274"/>
      <c r="G4" s="274"/>
      <c r="H4" s="274"/>
      <c r="I4" s="274"/>
      <c r="J4" s="274"/>
      <c r="K4" s="274" t="s">
        <v>15</v>
      </c>
      <c r="L4" s="274"/>
      <c r="M4" s="274" t="s">
        <v>984</v>
      </c>
      <c r="N4" s="274" t="s">
        <v>1148</v>
      </c>
      <c r="O4" s="274" t="s">
        <v>651</v>
      </c>
      <c r="P4" s="277" t="s">
        <v>16</v>
      </c>
      <c r="Q4" s="275" t="str">
        <f t="shared" ref="Q4:Q67" si="0">O4</f>
        <v>E09000003</v>
      </c>
      <c r="R4" s="274"/>
      <c r="S4" s="274"/>
      <c r="T4" s="274"/>
      <c r="U4" s="274" t="s">
        <v>17</v>
      </c>
      <c r="V4" s="274" t="s">
        <v>18</v>
      </c>
      <c r="W4" s="276">
        <v>3012</v>
      </c>
      <c r="X4" s="274">
        <v>10382</v>
      </c>
      <c r="Y4" s="274"/>
      <c r="Z4" s="274" t="s">
        <v>651</v>
      </c>
      <c r="AA4" s="277" t="s">
        <v>16</v>
      </c>
      <c r="AB4" s="274" t="s">
        <v>651</v>
      </c>
      <c r="AC4" s="274"/>
      <c r="AD4" s="274"/>
      <c r="AE4" s="274" t="s">
        <v>21</v>
      </c>
      <c r="AF4" s="274"/>
      <c r="AG4" s="274" t="s">
        <v>976</v>
      </c>
      <c r="AH4" s="274"/>
      <c r="AI4" s="274"/>
      <c r="AJ4" s="274"/>
      <c r="AK4" s="274"/>
      <c r="AL4" s="274" t="s">
        <v>1139</v>
      </c>
      <c r="AM4" t="s">
        <v>1539</v>
      </c>
      <c r="AN4" s="120" t="s">
        <v>16</v>
      </c>
      <c r="AO4" s="120" t="s">
        <v>30</v>
      </c>
      <c r="AP4" s="502">
        <v>21540</v>
      </c>
      <c r="AU4" t="s">
        <v>9</v>
      </c>
      <c r="AV4" s="510">
        <v>3773.1213872832368</v>
      </c>
      <c r="AX4" t="str">
        <f>AY4&amp;COUNTIF($AY$3:AY4,AY4)</f>
        <v>Barnsley1</v>
      </c>
      <c r="AY4" s="512" t="s">
        <v>23</v>
      </c>
      <c r="AZ4" s="512" t="s">
        <v>35</v>
      </c>
      <c r="BA4" s="514">
        <v>5676.0039999999999</v>
      </c>
    </row>
    <row r="5" spans="1:53">
      <c r="A5" s="274"/>
      <c r="B5" s="274" t="s">
        <v>19</v>
      </c>
      <c r="C5" s="274" t="s">
        <v>19</v>
      </c>
      <c r="D5" s="274"/>
      <c r="E5" s="274" t="s">
        <v>20</v>
      </c>
      <c r="F5" s="274"/>
      <c r="G5" s="274"/>
      <c r="H5" s="274"/>
      <c r="I5" s="274"/>
      <c r="J5" s="274"/>
      <c r="K5" s="274" t="s">
        <v>21</v>
      </c>
      <c r="L5" s="274"/>
      <c r="M5" s="274" t="s">
        <v>22</v>
      </c>
      <c r="N5" s="274" t="s">
        <v>981</v>
      </c>
      <c r="O5" s="274" t="s">
        <v>652</v>
      </c>
      <c r="P5" s="277" t="s">
        <v>23</v>
      </c>
      <c r="Q5" s="275" t="str">
        <f t="shared" si="0"/>
        <v>E08000016</v>
      </c>
      <c r="R5" s="274"/>
      <c r="S5" s="274"/>
      <c r="T5" s="274"/>
      <c r="U5" s="274" t="s">
        <v>24</v>
      </c>
      <c r="V5" s="274" t="s">
        <v>25</v>
      </c>
      <c r="W5" s="276">
        <v>4185</v>
      </c>
      <c r="X5" s="274">
        <v>13055</v>
      </c>
      <c r="Y5" s="274"/>
      <c r="Z5" s="274" t="s">
        <v>652</v>
      </c>
      <c r="AA5" s="277" t="s">
        <v>23</v>
      </c>
      <c r="AB5" s="274" t="s">
        <v>652</v>
      </c>
      <c r="AC5" s="274"/>
      <c r="AD5" s="274"/>
      <c r="AE5" s="274" t="s">
        <v>15</v>
      </c>
      <c r="AF5" s="274"/>
      <c r="AG5" s="274" t="s">
        <v>990</v>
      </c>
      <c r="AH5" s="274"/>
      <c r="AI5" s="274"/>
      <c r="AJ5" s="274"/>
      <c r="AK5" s="274"/>
      <c r="AL5" s="274" t="s">
        <v>1140</v>
      </c>
      <c r="AM5" t="s">
        <v>1540</v>
      </c>
      <c r="AN5" s="447" t="s">
        <v>23</v>
      </c>
      <c r="AO5" s="447" t="s">
        <v>35</v>
      </c>
      <c r="AP5" s="501">
        <v>18358</v>
      </c>
      <c r="AU5" t="s">
        <v>16</v>
      </c>
      <c r="AV5" s="510">
        <v>6225.4335260115604</v>
      </c>
      <c r="AX5" t="str">
        <f>AY5&amp;COUNTIF($AY$3:AY5,AY5)</f>
        <v>Bath and North East Somerset1</v>
      </c>
      <c r="AY5" s="512" t="s">
        <v>29</v>
      </c>
      <c r="AZ5" s="512" t="s">
        <v>49</v>
      </c>
      <c r="BA5" s="514">
        <v>3344.7</v>
      </c>
    </row>
    <row r="6" spans="1:53">
      <c r="A6" s="274"/>
      <c r="B6" s="274" t="s">
        <v>26</v>
      </c>
      <c r="C6" s="274" t="s">
        <v>26</v>
      </c>
      <c r="D6" s="274"/>
      <c r="E6" s="274" t="s">
        <v>27</v>
      </c>
      <c r="F6" s="274"/>
      <c r="G6" s="274"/>
      <c r="H6" s="274"/>
      <c r="I6" s="274"/>
      <c r="J6" s="274"/>
      <c r="K6" s="274" t="s">
        <v>1525</v>
      </c>
      <c r="L6" s="274"/>
      <c r="M6" s="274" t="s">
        <v>8</v>
      </c>
      <c r="N6" s="274"/>
      <c r="O6" s="274" t="s">
        <v>653</v>
      </c>
      <c r="P6" s="277" t="s">
        <v>29</v>
      </c>
      <c r="Q6" s="275" t="str">
        <f t="shared" si="0"/>
        <v>E06000022</v>
      </c>
      <c r="R6" s="274"/>
      <c r="S6" s="274"/>
      <c r="T6" s="274"/>
      <c r="U6" s="274" t="s">
        <v>30</v>
      </c>
      <c r="V6" s="274" t="s">
        <v>31</v>
      </c>
      <c r="W6" s="276">
        <v>6634</v>
      </c>
      <c r="X6" s="274">
        <v>21540</v>
      </c>
      <c r="Y6" s="274"/>
      <c r="Z6" s="274" t="s">
        <v>653</v>
      </c>
      <c r="AA6" s="277" t="s">
        <v>29</v>
      </c>
      <c r="AB6" s="274" t="s">
        <v>653</v>
      </c>
      <c r="AC6" s="274"/>
      <c r="AD6" s="274"/>
      <c r="AE6" s="274"/>
      <c r="AF6" s="274"/>
      <c r="AG6" s="274" t="s">
        <v>28</v>
      </c>
      <c r="AH6" s="274"/>
      <c r="AI6" s="274"/>
      <c r="AJ6" s="274"/>
      <c r="AK6" s="274"/>
      <c r="AL6" s="274"/>
      <c r="AM6" t="s">
        <v>1541</v>
      </c>
      <c r="AN6" s="120" t="s">
        <v>29</v>
      </c>
      <c r="AO6" s="120" t="s">
        <v>49</v>
      </c>
      <c r="AP6" s="502">
        <v>11091</v>
      </c>
      <c r="AU6" t="s">
        <v>23</v>
      </c>
      <c r="AV6" s="510">
        <v>5305.7803468208094</v>
      </c>
      <c r="AX6" t="str">
        <f>AY6&amp;COUNTIF($AY$3:AY6,AY6)</f>
        <v>Bedford1</v>
      </c>
      <c r="AY6" s="512" t="s">
        <v>34</v>
      </c>
      <c r="AZ6" s="512" t="s">
        <v>53</v>
      </c>
      <c r="BA6" s="514">
        <v>2845.3890000000001</v>
      </c>
    </row>
    <row r="7" spans="1:53">
      <c r="A7" s="274"/>
      <c r="B7" s="274" t="s">
        <v>32</v>
      </c>
      <c r="C7" s="274" t="s">
        <v>32</v>
      </c>
      <c r="D7" s="274"/>
      <c r="E7" s="274" t="s">
        <v>33</v>
      </c>
      <c r="F7" s="274"/>
      <c r="G7" s="274"/>
      <c r="H7" s="274"/>
      <c r="I7" s="274"/>
      <c r="J7" s="274"/>
      <c r="K7" s="274"/>
      <c r="L7" s="274"/>
      <c r="M7" s="274" t="s">
        <v>32</v>
      </c>
      <c r="N7" s="274"/>
      <c r="O7" s="274" t="s">
        <v>654</v>
      </c>
      <c r="P7" s="277" t="s">
        <v>34</v>
      </c>
      <c r="Q7" s="275" t="str">
        <f t="shared" si="0"/>
        <v>E06000055</v>
      </c>
      <c r="R7" s="274"/>
      <c r="S7" s="274"/>
      <c r="T7" s="274"/>
      <c r="U7" s="274" t="s">
        <v>35</v>
      </c>
      <c r="V7" s="274" t="s">
        <v>36</v>
      </c>
      <c r="W7" s="276">
        <v>5676</v>
      </c>
      <c r="X7" s="274">
        <v>18358</v>
      </c>
      <c r="Y7" s="274"/>
      <c r="Z7" s="274" t="s">
        <v>654</v>
      </c>
      <c r="AA7" s="277" t="s">
        <v>34</v>
      </c>
      <c r="AB7" s="274" t="s">
        <v>654</v>
      </c>
      <c r="AC7" s="274"/>
      <c r="AD7" s="274"/>
      <c r="AE7" s="274"/>
      <c r="AF7" s="274"/>
      <c r="AG7" s="274"/>
      <c r="AH7" s="274"/>
      <c r="AI7" s="274"/>
      <c r="AJ7" s="274"/>
      <c r="AK7" s="274"/>
      <c r="AL7" s="274"/>
      <c r="AM7" t="s">
        <v>1542</v>
      </c>
      <c r="AN7" s="447" t="s">
        <v>34</v>
      </c>
      <c r="AO7" s="447" t="s">
        <v>53</v>
      </c>
      <c r="AP7" s="501">
        <v>9396</v>
      </c>
      <c r="AU7" t="s">
        <v>29</v>
      </c>
      <c r="AV7" s="510">
        <v>3205.4913294797689</v>
      </c>
      <c r="AX7" t="str">
        <f>AY7&amp;COUNTIF($AY$3:AY7,AY7)</f>
        <v>Bexley1</v>
      </c>
      <c r="AY7" s="512" t="s">
        <v>39</v>
      </c>
      <c r="AZ7" s="512" t="s">
        <v>57</v>
      </c>
      <c r="BA7" s="514">
        <v>4255.05</v>
      </c>
    </row>
    <row r="8" spans="1:53">
      <c r="A8" s="274"/>
      <c r="B8" s="274" t="s">
        <v>37</v>
      </c>
      <c r="C8" s="274" t="s">
        <v>645</v>
      </c>
      <c r="D8" s="274"/>
      <c r="E8" s="274"/>
      <c r="F8" s="274"/>
      <c r="G8" s="274"/>
      <c r="H8" s="274"/>
      <c r="I8" s="274"/>
      <c r="J8" s="274"/>
      <c r="K8" s="274"/>
      <c r="L8" s="274"/>
      <c r="M8" s="274" t="s">
        <v>15</v>
      </c>
      <c r="N8" s="274"/>
      <c r="O8" s="274" t="s">
        <v>655</v>
      </c>
      <c r="P8" s="277" t="s">
        <v>39</v>
      </c>
      <c r="Q8" s="275" t="str">
        <f t="shared" si="0"/>
        <v>E09000004</v>
      </c>
      <c r="R8" s="274"/>
      <c r="S8" s="274"/>
      <c r="T8" s="274"/>
      <c r="U8" s="274" t="s">
        <v>40</v>
      </c>
      <c r="V8" s="274" t="s">
        <v>41</v>
      </c>
      <c r="W8" s="276">
        <v>4854</v>
      </c>
      <c r="X8" s="274">
        <v>16041</v>
      </c>
      <c r="Y8" s="274"/>
      <c r="Z8" s="274" t="s">
        <v>655</v>
      </c>
      <c r="AA8" s="277" t="s">
        <v>39</v>
      </c>
      <c r="AB8" s="274" t="s">
        <v>655</v>
      </c>
      <c r="AC8" s="274"/>
      <c r="AD8" s="274"/>
      <c r="AE8" s="274"/>
      <c r="AF8" s="274"/>
      <c r="AG8" s="274"/>
      <c r="AH8" s="274"/>
      <c r="AI8" s="274"/>
      <c r="AJ8" s="274"/>
      <c r="AK8" s="274"/>
      <c r="AL8" s="274"/>
      <c r="AM8" t="s">
        <v>1543</v>
      </c>
      <c r="AN8" s="120" t="s">
        <v>39</v>
      </c>
      <c r="AO8" s="120" t="s">
        <v>57</v>
      </c>
      <c r="AP8" s="502">
        <v>13708</v>
      </c>
      <c r="AU8" t="s">
        <v>34</v>
      </c>
      <c r="AV8" s="510">
        <v>2715.6069364161849</v>
      </c>
      <c r="AX8" t="str">
        <f>AY8&amp;COUNTIF($AY$3:AY8,AY8)</f>
        <v>Birmingham1</v>
      </c>
      <c r="AY8" s="513" t="s">
        <v>45</v>
      </c>
      <c r="AZ8" s="513" t="s">
        <v>65</v>
      </c>
      <c r="BA8" s="514">
        <v>4619.440219092332</v>
      </c>
    </row>
    <row r="9" spans="1:53">
      <c r="A9" s="274"/>
      <c r="B9" s="274" t="s">
        <v>42</v>
      </c>
      <c r="C9" s="274" t="s">
        <v>28</v>
      </c>
      <c r="D9" s="274"/>
      <c r="E9" s="278" t="s">
        <v>43</v>
      </c>
      <c r="F9" s="274"/>
      <c r="G9" s="274"/>
      <c r="H9" s="274"/>
      <c r="I9" s="274"/>
      <c r="J9" s="274"/>
      <c r="K9" s="274"/>
      <c r="L9" s="274"/>
      <c r="M9" s="274" t="s">
        <v>38</v>
      </c>
      <c r="N9" s="274"/>
      <c r="O9" s="274" t="s">
        <v>656</v>
      </c>
      <c r="P9" s="277" t="s">
        <v>45</v>
      </c>
      <c r="Q9" s="275" t="str">
        <f t="shared" si="0"/>
        <v>E08000025</v>
      </c>
      <c r="R9" s="274"/>
      <c r="S9" s="274"/>
      <c r="T9" s="274"/>
      <c r="U9" s="274" t="s">
        <v>46</v>
      </c>
      <c r="V9" s="274" t="s">
        <v>47</v>
      </c>
      <c r="W9" s="276">
        <v>2277</v>
      </c>
      <c r="X9" s="274">
        <v>7526</v>
      </c>
      <c r="Y9" s="274"/>
      <c r="Z9" s="274" t="s">
        <v>656</v>
      </c>
      <c r="AA9" s="277" t="s">
        <v>45</v>
      </c>
      <c r="AB9" s="274" t="s">
        <v>656</v>
      </c>
      <c r="AC9" s="274"/>
      <c r="AD9" s="274"/>
      <c r="AE9" s="274"/>
      <c r="AF9" s="274"/>
      <c r="AG9" s="274"/>
      <c r="AH9" s="274"/>
      <c r="AI9" s="274"/>
      <c r="AJ9" s="274"/>
      <c r="AK9" s="274"/>
      <c r="AL9" s="274"/>
      <c r="AM9" t="s">
        <v>1544</v>
      </c>
      <c r="AN9" s="447" t="s">
        <v>45</v>
      </c>
      <c r="AO9" s="447" t="s">
        <v>493</v>
      </c>
      <c r="AP9" s="501">
        <v>10977</v>
      </c>
      <c r="AU9" t="s">
        <v>39</v>
      </c>
      <c r="AV9" s="510">
        <v>3961.849710982659</v>
      </c>
      <c r="AX9" t="str">
        <f>AY9&amp;COUNTIF($AY$3:AY9,AY9)</f>
        <v>Birmingham2</v>
      </c>
      <c r="AY9" s="513" t="s">
        <v>45</v>
      </c>
      <c r="AZ9" s="513" t="s">
        <v>493</v>
      </c>
      <c r="BA9" s="514">
        <v>3695.5521752738655</v>
      </c>
    </row>
    <row r="10" spans="1:53">
      <c r="A10" s="274"/>
      <c r="B10" s="274"/>
      <c r="C10" s="274"/>
      <c r="D10" s="274"/>
      <c r="E10" s="274"/>
      <c r="F10" s="274"/>
      <c r="G10" s="274"/>
      <c r="H10" s="274"/>
      <c r="I10" s="274"/>
      <c r="J10" s="274"/>
      <c r="K10" s="274"/>
      <c r="L10" s="274"/>
      <c r="M10" s="274" t="s">
        <v>44</v>
      </c>
      <c r="N10" s="274"/>
      <c r="O10" s="274" t="s">
        <v>657</v>
      </c>
      <c r="P10" s="277" t="s">
        <v>48</v>
      </c>
      <c r="Q10" s="275" t="str">
        <f t="shared" si="0"/>
        <v>E06000008</v>
      </c>
      <c r="R10" s="274"/>
      <c r="S10" s="274"/>
      <c r="T10" s="274"/>
      <c r="U10" s="274" t="s">
        <v>49</v>
      </c>
      <c r="V10" s="274" t="s">
        <v>50</v>
      </c>
      <c r="W10" s="276">
        <v>3345</v>
      </c>
      <c r="X10" s="274">
        <v>11091</v>
      </c>
      <c r="Y10" s="274"/>
      <c r="Z10" s="274" t="s">
        <v>657</v>
      </c>
      <c r="AA10" s="277" t="s">
        <v>48</v>
      </c>
      <c r="AB10" s="274" t="s">
        <v>657</v>
      </c>
      <c r="AC10" s="274"/>
      <c r="AD10" s="274"/>
      <c r="AE10" s="274"/>
      <c r="AF10" s="274"/>
      <c r="AG10" s="274"/>
      <c r="AH10" s="274"/>
      <c r="AI10" s="274"/>
      <c r="AJ10" s="274"/>
      <c r="AK10" s="274"/>
      <c r="AL10" s="274"/>
      <c r="AM10" t="s">
        <v>1545</v>
      </c>
      <c r="AN10" s="447" t="s">
        <v>45</v>
      </c>
      <c r="AO10" s="447" t="s">
        <v>65</v>
      </c>
      <c r="AP10" s="501">
        <v>14448</v>
      </c>
      <c r="AU10" t="s">
        <v>45</v>
      </c>
      <c r="AV10" s="510">
        <v>21454.046242774566</v>
      </c>
      <c r="AX10" t="str">
        <f>AY10&amp;COUNTIF($AY$3:AY10,AY10)</f>
        <v>Birmingham3</v>
      </c>
      <c r="AY10" s="513" t="s">
        <v>45</v>
      </c>
      <c r="AZ10" s="513" t="s">
        <v>61</v>
      </c>
      <c r="BA10" s="514">
        <v>17353.027605633804</v>
      </c>
    </row>
    <row r="11" spans="1:53">
      <c r="A11" s="274"/>
      <c r="B11" s="274"/>
      <c r="C11" s="274"/>
      <c r="D11" s="274"/>
      <c r="E11" s="279" t="s">
        <v>51</v>
      </c>
      <c r="F11" s="274"/>
      <c r="G11" s="274"/>
      <c r="H11" s="274"/>
      <c r="I11" s="274"/>
      <c r="J11" s="274"/>
      <c r="K11" s="274"/>
      <c r="L11" s="274"/>
      <c r="M11" s="274"/>
      <c r="N11" s="274"/>
      <c r="O11" s="274" t="s">
        <v>658</v>
      </c>
      <c r="P11" s="277" t="s">
        <v>52</v>
      </c>
      <c r="Q11" s="275" t="str">
        <f t="shared" si="0"/>
        <v>E06000009</v>
      </c>
      <c r="R11" s="274"/>
      <c r="S11" s="274"/>
      <c r="T11" s="274"/>
      <c r="U11" s="274" t="s">
        <v>53</v>
      </c>
      <c r="V11" s="274" t="s">
        <v>54</v>
      </c>
      <c r="W11" s="276">
        <v>6814</v>
      </c>
      <c r="X11" s="274">
        <v>23350</v>
      </c>
      <c r="Y11" s="274"/>
      <c r="Z11" s="274" t="s">
        <v>658</v>
      </c>
      <c r="AA11" s="277" t="s">
        <v>52</v>
      </c>
      <c r="AB11" s="274" t="s">
        <v>658</v>
      </c>
      <c r="AC11" s="274"/>
      <c r="AD11" s="274"/>
      <c r="AE11" s="274"/>
      <c r="AF11" s="274"/>
      <c r="AG11" s="274"/>
      <c r="AH11" s="274"/>
      <c r="AI11" s="274"/>
      <c r="AJ11" s="274"/>
      <c r="AK11" s="274"/>
      <c r="AL11" s="274"/>
      <c r="AM11" t="s">
        <v>1546</v>
      </c>
      <c r="AN11" s="447" t="s">
        <v>45</v>
      </c>
      <c r="AO11" s="447" t="s">
        <v>1209</v>
      </c>
      <c r="AP11" s="501">
        <v>48806</v>
      </c>
      <c r="AU11" t="s">
        <v>48</v>
      </c>
      <c r="AV11" s="510">
        <v>3123.1213872832368</v>
      </c>
      <c r="AX11" t="str">
        <f>AY11&amp;COUNTIF($AY$3:AY11,AY11)</f>
        <v>Blackburn with Darwen1</v>
      </c>
      <c r="AY11" s="512" t="s">
        <v>48</v>
      </c>
      <c r="AZ11" s="512" t="s">
        <v>69</v>
      </c>
      <c r="BA11" s="514">
        <v>3503.576</v>
      </c>
    </row>
    <row r="12" spans="1:53">
      <c r="A12" s="274"/>
      <c r="B12" s="274"/>
      <c r="C12" s="274"/>
      <c r="D12" s="274"/>
      <c r="E12" s="274" t="s">
        <v>55</v>
      </c>
      <c r="F12" s="274"/>
      <c r="G12" s="274"/>
      <c r="H12" s="274"/>
      <c r="I12" s="274"/>
      <c r="J12" s="274"/>
      <c r="K12" s="274"/>
      <c r="L12" s="274"/>
      <c r="M12" s="274"/>
      <c r="N12" s="274"/>
      <c r="O12" s="274" t="s">
        <v>659</v>
      </c>
      <c r="P12" s="277" t="s">
        <v>56</v>
      </c>
      <c r="Q12" s="275" t="str">
        <f t="shared" si="0"/>
        <v>E08000001</v>
      </c>
      <c r="R12" s="274"/>
      <c r="S12" s="274"/>
      <c r="T12" s="274"/>
      <c r="U12" s="274" t="s">
        <v>57</v>
      </c>
      <c r="V12" s="274" t="s">
        <v>58</v>
      </c>
      <c r="W12" s="276">
        <v>4255</v>
      </c>
      <c r="X12" s="274">
        <v>13708</v>
      </c>
      <c r="Y12" s="274"/>
      <c r="Z12" s="274" t="s">
        <v>659</v>
      </c>
      <c r="AA12" s="277" t="s">
        <v>56</v>
      </c>
      <c r="AB12" s="274" t="s">
        <v>659</v>
      </c>
      <c r="AC12" s="274"/>
      <c r="AD12" s="274"/>
      <c r="AE12" s="274"/>
      <c r="AF12" s="274"/>
      <c r="AG12" s="274"/>
      <c r="AH12" s="274"/>
      <c r="AI12" s="274"/>
      <c r="AJ12" s="274"/>
      <c r="AK12" s="274"/>
      <c r="AL12" s="274"/>
      <c r="AM12" t="s">
        <v>1547</v>
      </c>
      <c r="AN12" s="120" t="s">
        <v>48</v>
      </c>
      <c r="AO12" s="120" t="s">
        <v>69</v>
      </c>
      <c r="AP12" s="502">
        <v>10806</v>
      </c>
      <c r="AU12" t="s">
        <v>52</v>
      </c>
      <c r="AV12" s="510">
        <v>3593.0635838150288</v>
      </c>
      <c r="AX12" t="str">
        <f>AY12&amp;COUNTIF($AY$3:AY12,AY12)</f>
        <v>Blackpool1</v>
      </c>
      <c r="AY12" s="512" t="s">
        <v>52</v>
      </c>
      <c r="AZ12" s="512" t="s">
        <v>73</v>
      </c>
      <c r="BA12" s="514">
        <v>4141.8879999999999</v>
      </c>
    </row>
    <row r="13" spans="1:53">
      <c r="A13" s="274"/>
      <c r="B13" s="274"/>
      <c r="C13" s="274"/>
      <c r="D13" s="274"/>
      <c r="E13" s="274" t="s">
        <v>59</v>
      </c>
      <c r="F13" s="274"/>
      <c r="G13" s="274"/>
      <c r="H13" s="274"/>
      <c r="I13" s="274"/>
      <c r="J13" s="274"/>
      <c r="K13" s="274"/>
      <c r="L13" s="274"/>
      <c r="M13" s="274"/>
      <c r="N13" s="274"/>
      <c r="O13" s="274" t="s">
        <v>660</v>
      </c>
      <c r="P13" s="277" t="s">
        <v>60</v>
      </c>
      <c r="Q13" s="275" t="str">
        <f t="shared" si="0"/>
        <v>E06000028</v>
      </c>
      <c r="R13" s="274"/>
      <c r="S13" s="274"/>
      <c r="T13" s="274"/>
      <c r="U13" s="274" t="s">
        <v>61</v>
      </c>
      <c r="V13" s="274" t="s">
        <v>62</v>
      </c>
      <c r="W13" s="276">
        <v>17353</v>
      </c>
      <c r="X13" s="274">
        <v>48807</v>
      </c>
      <c r="Y13" s="274"/>
      <c r="Z13" s="274" t="s">
        <v>660</v>
      </c>
      <c r="AA13" s="277" t="s">
        <v>958</v>
      </c>
      <c r="AB13" s="274" t="s">
        <v>660</v>
      </c>
      <c r="AC13" s="274"/>
      <c r="AD13" s="274"/>
      <c r="AE13" s="274"/>
      <c r="AF13" s="274"/>
      <c r="AG13" s="274"/>
      <c r="AH13" s="274"/>
      <c r="AI13" s="274"/>
      <c r="AJ13" s="274"/>
      <c r="AK13" s="274"/>
      <c r="AL13" s="274"/>
      <c r="AM13" t="s">
        <v>1548</v>
      </c>
      <c r="AN13" s="447" t="s">
        <v>52</v>
      </c>
      <c r="AO13" s="447" t="s">
        <v>73</v>
      </c>
      <c r="AP13" s="501">
        <v>12432</v>
      </c>
      <c r="AU13" t="s">
        <v>56</v>
      </c>
      <c r="AV13" s="510">
        <v>5479.7687861271679</v>
      </c>
      <c r="AX13" t="str">
        <f>AY13&amp;COUNTIF($AY$3:AY13,AY13)</f>
        <v>Bolton1</v>
      </c>
      <c r="AY13" s="512" t="s">
        <v>56</v>
      </c>
      <c r="AZ13" s="512" t="s">
        <v>77</v>
      </c>
      <c r="BA13" s="514">
        <v>6371.3029999999999</v>
      </c>
    </row>
    <row r="14" spans="1:53">
      <c r="A14" s="274"/>
      <c r="B14" s="274"/>
      <c r="C14" s="274"/>
      <c r="D14" s="274"/>
      <c r="E14" s="274" t="s">
        <v>63</v>
      </c>
      <c r="F14" s="274"/>
      <c r="G14" s="274"/>
      <c r="H14" s="274"/>
      <c r="I14" s="274"/>
      <c r="J14" s="274"/>
      <c r="K14" s="274" t="s">
        <v>1</v>
      </c>
      <c r="L14" s="274"/>
      <c r="M14" s="274"/>
      <c r="N14" s="274"/>
      <c r="O14" s="274" t="s">
        <v>661</v>
      </c>
      <c r="P14" s="277" t="s">
        <v>64</v>
      </c>
      <c r="Q14" s="275" t="str">
        <f t="shared" si="0"/>
        <v>E06000036</v>
      </c>
      <c r="R14" s="274"/>
      <c r="S14" s="274"/>
      <c r="T14" s="274"/>
      <c r="U14" s="274" t="s">
        <v>65</v>
      </c>
      <c r="V14" s="274" t="s">
        <v>66</v>
      </c>
      <c r="W14" s="276">
        <v>4619</v>
      </c>
      <c r="X14" s="274">
        <v>14448</v>
      </c>
      <c r="Y14" s="274"/>
      <c r="Z14" s="274" t="s">
        <v>661</v>
      </c>
      <c r="AA14" s="277" t="s">
        <v>64</v>
      </c>
      <c r="AB14" s="274" t="s">
        <v>661</v>
      </c>
      <c r="AC14" s="274"/>
      <c r="AD14" s="274"/>
      <c r="AE14" s="274"/>
      <c r="AF14" s="274"/>
      <c r="AG14" s="274"/>
      <c r="AH14" s="274"/>
      <c r="AI14" s="274"/>
      <c r="AJ14" s="274"/>
      <c r="AK14" s="274"/>
      <c r="AL14" s="274"/>
      <c r="AM14" t="s">
        <v>1549</v>
      </c>
      <c r="AN14" s="120" t="s">
        <v>56</v>
      </c>
      <c r="AO14" s="120" t="s">
        <v>77</v>
      </c>
      <c r="AP14" s="502">
        <v>18960</v>
      </c>
      <c r="AU14" t="s">
        <v>958</v>
      </c>
      <c r="AV14" s="510">
        <v>3532.6589595375722</v>
      </c>
      <c r="AX14" t="str">
        <f>AY14&amp;COUNTIF($AY$3:AY14,AY14)</f>
        <v>Bournemouth1</v>
      </c>
      <c r="AY14" s="512" t="s">
        <v>958</v>
      </c>
      <c r="AZ14" s="512" t="s">
        <v>185</v>
      </c>
      <c r="BA14" s="514">
        <v>4051.2730000000001</v>
      </c>
    </row>
    <row r="15" spans="1:53">
      <c r="A15" s="274"/>
      <c r="B15" s="274"/>
      <c r="C15" s="274"/>
      <c r="D15" s="274"/>
      <c r="E15" s="274" t="s">
        <v>67</v>
      </c>
      <c r="F15" s="274"/>
      <c r="G15" s="274"/>
      <c r="H15" s="274"/>
      <c r="I15" s="274"/>
      <c r="J15" s="274"/>
      <c r="K15" s="274" t="s">
        <v>646</v>
      </c>
      <c r="L15" s="274"/>
      <c r="M15" s="274"/>
      <c r="N15" s="274"/>
      <c r="O15" s="274" t="s">
        <v>662</v>
      </c>
      <c r="P15" s="277" t="s">
        <v>68</v>
      </c>
      <c r="Q15" s="275" t="str">
        <f t="shared" si="0"/>
        <v>E08000032</v>
      </c>
      <c r="R15" s="274"/>
      <c r="S15" s="274"/>
      <c r="T15" s="274"/>
      <c r="U15" s="274" t="s">
        <v>69</v>
      </c>
      <c r="V15" s="274" t="s">
        <v>70</v>
      </c>
      <c r="W15" s="276">
        <v>3505</v>
      </c>
      <c r="X15" s="274">
        <v>10806</v>
      </c>
      <c r="Y15" s="274"/>
      <c r="Z15" s="274" t="s">
        <v>662</v>
      </c>
      <c r="AA15" s="277" t="s">
        <v>68</v>
      </c>
      <c r="AB15" s="274" t="s">
        <v>662</v>
      </c>
      <c r="AC15" s="274"/>
      <c r="AD15" s="274"/>
      <c r="AE15" s="274"/>
      <c r="AF15" s="274"/>
      <c r="AG15" s="274"/>
      <c r="AH15" s="274"/>
      <c r="AI15" s="274"/>
      <c r="AJ15" s="274"/>
      <c r="AK15" s="274"/>
      <c r="AL15" s="274"/>
      <c r="AM15" t="s">
        <v>1550</v>
      </c>
      <c r="AN15" s="447" t="s">
        <v>60</v>
      </c>
      <c r="AO15" s="447" t="s">
        <v>1551</v>
      </c>
      <c r="AP15" s="501">
        <v>12223</v>
      </c>
      <c r="AU15" t="s">
        <v>64</v>
      </c>
      <c r="AV15" s="510">
        <v>1761.2716763005781</v>
      </c>
      <c r="AX15" t="str">
        <f>AY15&amp;COUNTIF($AY$3:AY15,AY15)</f>
        <v>Bracknell Forest1</v>
      </c>
      <c r="AY15" s="512" t="s">
        <v>64</v>
      </c>
      <c r="AZ15" s="512" t="s">
        <v>80</v>
      </c>
      <c r="BA15" s="514">
        <v>1658.414</v>
      </c>
    </row>
    <row r="16" spans="1:53">
      <c r="A16" s="274"/>
      <c r="B16" s="274"/>
      <c r="C16" s="274"/>
      <c r="D16" s="274"/>
      <c r="E16" s="274" t="s">
        <v>71</v>
      </c>
      <c r="F16" s="274"/>
      <c r="G16" s="274"/>
      <c r="H16" s="274"/>
      <c r="I16" s="274"/>
      <c r="J16" s="274"/>
      <c r="K16" s="274" t="s">
        <v>1296</v>
      </c>
      <c r="L16" s="274"/>
      <c r="M16" s="274"/>
      <c r="N16" s="274"/>
      <c r="O16" s="274" t="s">
        <v>663</v>
      </c>
      <c r="P16" s="277" t="s">
        <v>72</v>
      </c>
      <c r="Q16" s="275" t="str">
        <f t="shared" si="0"/>
        <v>E09000005</v>
      </c>
      <c r="R16" s="274"/>
      <c r="S16" s="274"/>
      <c r="T16" s="274"/>
      <c r="U16" s="274" t="s">
        <v>73</v>
      </c>
      <c r="V16" s="274" t="s">
        <v>74</v>
      </c>
      <c r="W16" s="276">
        <v>4142</v>
      </c>
      <c r="X16" s="274">
        <v>12432</v>
      </c>
      <c r="Y16" s="274"/>
      <c r="Z16" s="274" t="s">
        <v>663</v>
      </c>
      <c r="AA16" s="277" t="s">
        <v>72</v>
      </c>
      <c r="AB16" s="274" t="s">
        <v>663</v>
      </c>
      <c r="AC16" s="274"/>
      <c r="AD16" s="274"/>
      <c r="AE16" s="274"/>
      <c r="AF16" s="274"/>
      <c r="AG16" s="274"/>
      <c r="AH16" s="274"/>
      <c r="AI16" s="274"/>
      <c r="AJ16" s="274"/>
      <c r="AK16" s="274"/>
      <c r="AL16" s="274"/>
      <c r="AM16" t="s">
        <v>1552</v>
      </c>
      <c r="AN16" s="120" t="s">
        <v>64</v>
      </c>
      <c r="AO16" s="120" t="s">
        <v>80</v>
      </c>
      <c r="AP16" s="502">
        <v>6094</v>
      </c>
      <c r="AU16" t="s">
        <v>68</v>
      </c>
      <c r="AV16" s="510">
        <v>9866.184971098266</v>
      </c>
      <c r="AX16" t="str">
        <f>AY16&amp;COUNTIF($AY$3:AY16,AY16)</f>
        <v>Bradford1</v>
      </c>
      <c r="AY16" s="513" t="s">
        <v>68</v>
      </c>
      <c r="AZ16" s="513" t="s">
        <v>4</v>
      </c>
      <c r="BA16" s="514">
        <v>2309.5598967741935</v>
      </c>
    </row>
    <row r="17" spans="1:53">
      <c r="A17" s="274"/>
      <c r="B17" s="274"/>
      <c r="C17" s="274"/>
      <c r="D17" s="274"/>
      <c r="E17" s="274" t="s">
        <v>75</v>
      </c>
      <c r="F17" s="274"/>
      <c r="G17" s="274"/>
      <c r="H17" s="274"/>
      <c r="I17" s="274"/>
      <c r="J17" s="274"/>
      <c r="K17" s="274" t="s">
        <v>1298</v>
      </c>
      <c r="L17" s="274"/>
      <c r="M17" s="274"/>
      <c r="N17" s="274"/>
      <c r="O17" s="274" t="s">
        <v>664</v>
      </c>
      <c r="P17" s="277" t="s">
        <v>76</v>
      </c>
      <c r="Q17" s="275" t="str">
        <f t="shared" si="0"/>
        <v>E06000043</v>
      </c>
      <c r="R17" s="274"/>
      <c r="S17" s="274"/>
      <c r="T17" s="274"/>
      <c r="U17" s="274" t="s">
        <v>77</v>
      </c>
      <c r="V17" s="274" t="s">
        <v>78</v>
      </c>
      <c r="W17" s="276">
        <v>6371</v>
      </c>
      <c r="X17" s="274">
        <v>18960</v>
      </c>
      <c r="Y17" s="274"/>
      <c r="Z17" s="274" t="s">
        <v>664</v>
      </c>
      <c r="AA17" s="277" t="s">
        <v>76</v>
      </c>
      <c r="AB17" s="274" t="s">
        <v>664</v>
      </c>
      <c r="AC17" s="274"/>
      <c r="AD17" s="274"/>
      <c r="AE17" s="274"/>
      <c r="AF17" s="274"/>
      <c r="AG17" s="274"/>
      <c r="AH17" s="274"/>
      <c r="AI17" s="274"/>
      <c r="AJ17" s="274"/>
      <c r="AK17" s="274"/>
      <c r="AL17" s="274"/>
      <c r="AM17" t="s">
        <v>1553</v>
      </c>
      <c r="AN17" s="447" t="s">
        <v>68</v>
      </c>
      <c r="AO17" s="447" t="s">
        <v>87</v>
      </c>
      <c r="AP17" s="501">
        <v>21314</v>
      </c>
      <c r="AU17" t="s">
        <v>72</v>
      </c>
      <c r="AV17" s="510">
        <v>5731.7919075144509</v>
      </c>
      <c r="AX17" t="str">
        <f>AY17&amp;COUNTIF($AY$3:AY17,AY17)</f>
        <v>Bradford2</v>
      </c>
      <c r="AY17" s="513" t="s">
        <v>68</v>
      </c>
      <c r="AZ17" s="513" t="s">
        <v>87</v>
      </c>
      <c r="BA17" s="514">
        <v>6758.8591096774198</v>
      </c>
    </row>
    <row r="18" spans="1:53">
      <c r="A18" s="274"/>
      <c r="B18" s="274"/>
      <c r="C18" s="274"/>
      <c r="D18" s="274"/>
      <c r="E18" s="274"/>
      <c r="F18" s="274"/>
      <c r="G18" s="274"/>
      <c r="H18" s="274"/>
      <c r="I18" s="274"/>
      <c r="J18" s="274"/>
      <c r="K18" s="274"/>
      <c r="L18" s="274"/>
      <c r="M18" s="274"/>
      <c r="N18" s="274"/>
      <c r="O18" s="274" t="s">
        <v>665</v>
      </c>
      <c r="P18" s="277" t="s">
        <v>79</v>
      </c>
      <c r="Q18" s="275" t="str">
        <f t="shared" si="0"/>
        <v>E06000023</v>
      </c>
      <c r="R18" s="274"/>
      <c r="S18" s="274"/>
      <c r="T18" s="274"/>
      <c r="U18" s="274" t="s">
        <v>80</v>
      </c>
      <c r="V18" s="274" t="s">
        <v>81</v>
      </c>
      <c r="W18" s="276">
        <v>1905</v>
      </c>
      <c r="X18" s="274">
        <v>6931</v>
      </c>
      <c r="Y18" s="274"/>
      <c r="Z18" s="274" t="s">
        <v>665</v>
      </c>
      <c r="AA18" s="277" t="s">
        <v>79</v>
      </c>
      <c r="AB18" s="274" t="s">
        <v>665</v>
      </c>
      <c r="AC18" s="274"/>
      <c r="AD18" s="274"/>
      <c r="AE18" s="274"/>
      <c r="AF18" s="274"/>
      <c r="AG18" s="274"/>
      <c r="AH18" s="274"/>
      <c r="AI18" s="274"/>
      <c r="AJ18" s="274"/>
      <c r="AK18" s="274"/>
      <c r="AL18" s="274"/>
      <c r="AM18" t="s">
        <v>1554</v>
      </c>
      <c r="AN18" s="447" t="s">
        <v>68</v>
      </c>
      <c r="AO18" s="447" t="s">
        <v>84</v>
      </c>
      <c r="AP18" s="501">
        <v>5705</v>
      </c>
      <c r="AU18" t="s">
        <v>76</v>
      </c>
      <c r="AV18" s="510">
        <v>5221.0982658959538</v>
      </c>
      <c r="AX18" t="str">
        <f>AY18&amp;COUNTIF($AY$3:AY18,AY18)</f>
        <v>Bradford3</v>
      </c>
      <c r="AY18" s="513" t="s">
        <v>68</v>
      </c>
      <c r="AZ18" s="513" t="s">
        <v>84</v>
      </c>
      <c r="BA18" s="514">
        <v>1460.4569935483871</v>
      </c>
    </row>
    <row r="19" spans="1:53">
      <c r="A19" s="274"/>
      <c r="B19" s="274"/>
      <c r="C19" s="274"/>
      <c r="D19" s="274"/>
      <c r="E19" s="278" t="s">
        <v>82</v>
      </c>
      <c r="F19" s="274"/>
      <c r="G19" s="274"/>
      <c r="H19" s="274"/>
      <c r="I19" s="274"/>
      <c r="J19" s="274"/>
      <c r="K19" s="274"/>
      <c r="L19" s="274"/>
      <c r="M19" s="274"/>
      <c r="N19" s="274"/>
      <c r="O19" s="274" t="s">
        <v>666</v>
      </c>
      <c r="P19" s="277" t="s">
        <v>83</v>
      </c>
      <c r="Q19" s="275" t="str">
        <f t="shared" si="0"/>
        <v>E09000006</v>
      </c>
      <c r="R19" s="274"/>
      <c r="S19" s="274"/>
      <c r="T19" s="274"/>
      <c r="U19" s="274" t="s">
        <v>84</v>
      </c>
      <c r="V19" s="274" t="s">
        <v>85</v>
      </c>
      <c r="W19" s="276">
        <v>1460</v>
      </c>
      <c r="X19" s="274">
        <v>5705</v>
      </c>
      <c r="Y19" s="274"/>
      <c r="Z19" s="274" t="s">
        <v>666</v>
      </c>
      <c r="AA19" s="277" t="s">
        <v>83</v>
      </c>
      <c r="AB19" s="274" t="s">
        <v>666</v>
      </c>
      <c r="AC19" s="274"/>
      <c r="AD19" s="274"/>
      <c r="AE19" s="274"/>
      <c r="AF19" s="274"/>
      <c r="AG19" s="274"/>
      <c r="AH19" s="274"/>
      <c r="AI19" s="274"/>
      <c r="AJ19" s="274"/>
      <c r="AK19" s="274"/>
      <c r="AL19" s="274"/>
      <c r="AM19" t="s">
        <v>1555</v>
      </c>
      <c r="AN19" s="447" t="s">
        <v>68</v>
      </c>
      <c r="AO19" s="447" t="s">
        <v>4</v>
      </c>
      <c r="AP19" s="501">
        <v>7118</v>
      </c>
      <c r="AU19" t="s">
        <v>79</v>
      </c>
      <c r="AV19" s="510">
        <v>8070.5202312138726</v>
      </c>
      <c r="AX19" t="str">
        <f>AY19&amp;COUNTIF($AY$3:AY19,AY19)</f>
        <v>Brent1</v>
      </c>
      <c r="AY19" s="512" t="s">
        <v>72</v>
      </c>
      <c r="AZ19" s="512" t="s">
        <v>91</v>
      </c>
      <c r="BA19" s="514">
        <v>6155.585</v>
      </c>
    </row>
    <row r="20" spans="1:53">
      <c r="A20" s="274"/>
      <c r="B20" s="274"/>
      <c r="C20" s="274"/>
      <c r="D20" s="274"/>
      <c r="E20" s="274"/>
      <c r="F20" s="274"/>
      <c r="G20" s="274"/>
      <c r="H20" s="274"/>
      <c r="I20" s="274"/>
      <c r="J20" s="274"/>
      <c r="K20" s="274"/>
      <c r="L20" s="274"/>
      <c r="M20" s="274"/>
      <c r="N20" s="274"/>
      <c r="O20" s="274" t="s">
        <v>667</v>
      </c>
      <c r="P20" s="277" t="s">
        <v>86</v>
      </c>
      <c r="Q20" s="275" t="str">
        <f t="shared" si="0"/>
        <v>E10000002</v>
      </c>
      <c r="R20" s="274"/>
      <c r="S20" s="274"/>
      <c r="T20" s="274"/>
      <c r="U20" s="274" t="s">
        <v>87</v>
      </c>
      <c r="V20" s="274" t="s">
        <v>88</v>
      </c>
      <c r="W20" s="276">
        <v>6759</v>
      </c>
      <c r="X20" s="274">
        <v>21314</v>
      </c>
      <c r="Y20" s="274"/>
      <c r="Z20" s="274" t="s">
        <v>667</v>
      </c>
      <c r="AA20" s="277" t="s">
        <v>86</v>
      </c>
      <c r="AB20" s="274" t="s">
        <v>667</v>
      </c>
      <c r="AC20" s="274"/>
      <c r="AD20" s="274"/>
      <c r="AE20" s="274"/>
      <c r="AF20" s="274"/>
      <c r="AG20" s="274"/>
      <c r="AH20" s="274"/>
      <c r="AI20" s="274"/>
      <c r="AJ20" s="274"/>
      <c r="AK20" s="274"/>
      <c r="AL20" s="274"/>
      <c r="AM20" t="s">
        <v>1556</v>
      </c>
      <c r="AN20" s="120" t="s">
        <v>72</v>
      </c>
      <c r="AO20" s="120" t="s">
        <v>91</v>
      </c>
      <c r="AP20" s="502">
        <v>19832</v>
      </c>
      <c r="AU20" t="s">
        <v>83</v>
      </c>
      <c r="AV20" s="510">
        <v>5558.3815028901736</v>
      </c>
      <c r="AX20" t="str">
        <f>AY20&amp;COUNTIF($AY$3:AY20,AY20)</f>
        <v>Brighton and Hove1</v>
      </c>
      <c r="AY20" s="512" t="s">
        <v>76</v>
      </c>
      <c r="AZ20" s="512" t="s">
        <v>1244</v>
      </c>
      <c r="BA20" s="514">
        <v>5631.3590000000004</v>
      </c>
    </row>
    <row r="21" spans="1:53">
      <c r="A21" s="274"/>
      <c r="B21" s="274"/>
      <c r="C21" s="274"/>
      <c r="D21" s="274"/>
      <c r="E21" s="279" t="s">
        <v>89</v>
      </c>
      <c r="F21" s="274"/>
      <c r="G21" s="274"/>
      <c r="H21" s="274"/>
      <c r="I21" s="274"/>
      <c r="J21" s="274"/>
      <c r="K21" s="274"/>
      <c r="L21" s="274"/>
      <c r="M21" s="274"/>
      <c r="N21" s="274"/>
      <c r="O21" s="274" t="s">
        <v>668</v>
      </c>
      <c r="P21" s="277" t="s">
        <v>90</v>
      </c>
      <c r="Q21" s="275" t="str">
        <f t="shared" si="0"/>
        <v>E08000002</v>
      </c>
      <c r="R21" s="274"/>
      <c r="S21" s="274"/>
      <c r="T21" s="274"/>
      <c r="U21" s="274" t="s">
        <v>91</v>
      </c>
      <c r="V21" s="274" t="s">
        <v>92</v>
      </c>
      <c r="W21" s="276">
        <v>6156</v>
      </c>
      <c r="X21" s="274">
        <v>19832</v>
      </c>
      <c r="Y21" s="274"/>
      <c r="Z21" s="274" t="s">
        <v>668</v>
      </c>
      <c r="AA21" s="277" t="s">
        <v>90</v>
      </c>
      <c r="AB21" s="274" t="s">
        <v>668</v>
      </c>
      <c r="AC21" s="274"/>
      <c r="AD21" s="274"/>
      <c r="AE21" s="274"/>
      <c r="AF21" s="274"/>
      <c r="AG21" s="274"/>
      <c r="AH21" s="274"/>
      <c r="AI21" s="274"/>
      <c r="AJ21" s="274"/>
      <c r="AK21" s="274"/>
      <c r="AL21" s="274"/>
      <c r="AM21" t="s">
        <v>1557</v>
      </c>
      <c r="AN21" s="447" t="s">
        <v>76</v>
      </c>
      <c r="AO21" s="447" t="s">
        <v>1244</v>
      </c>
      <c r="AP21" s="501">
        <v>18065</v>
      </c>
      <c r="AU21" t="s">
        <v>86</v>
      </c>
      <c r="AV21" s="510">
        <v>7626.3005780346821</v>
      </c>
      <c r="AX21" t="str">
        <f>AY21&amp;COUNTIF($AY$3:AY21,AY21)</f>
        <v>Bristol, City of1</v>
      </c>
      <c r="AY21" s="512" t="s">
        <v>79</v>
      </c>
      <c r="AZ21" s="512" t="s">
        <v>99</v>
      </c>
      <c r="BA21" s="514">
        <v>9296.6769999999997</v>
      </c>
    </row>
    <row r="22" spans="1:53">
      <c r="A22" s="274"/>
      <c r="B22" s="274"/>
      <c r="C22" s="274"/>
      <c r="D22" s="274"/>
      <c r="E22" s="274" t="s">
        <v>93</v>
      </c>
      <c r="F22" s="274"/>
      <c r="G22" s="274"/>
      <c r="H22" s="274"/>
      <c r="I22" s="274"/>
      <c r="J22" s="274"/>
      <c r="K22" s="274"/>
      <c r="L22" s="274"/>
      <c r="M22" s="274"/>
      <c r="N22" s="274"/>
      <c r="O22" s="274" t="s">
        <v>669</v>
      </c>
      <c r="P22" s="277" t="s">
        <v>94</v>
      </c>
      <c r="Q22" s="275" t="str">
        <f t="shared" si="0"/>
        <v>E08000033</v>
      </c>
      <c r="R22" s="274"/>
      <c r="S22" s="274"/>
      <c r="T22" s="274"/>
      <c r="U22" s="274" t="s">
        <v>95</v>
      </c>
      <c r="V22" s="274" t="s">
        <v>96</v>
      </c>
      <c r="W22" s="276">
        <v>5631</v>
      </c>
      <c r="X22" s="274">
        <v>18065</v>
      </c>
      <c r="Y22" s="274"/>
      <c r="Z22" s="274" t="s">
        <v>669</v>
      </c>
      <c r="AA22" s="277" t="s">
        <v>94</v>
      </c>
      <c r="AB22" s="274" t="s">
        <v>669</v>
      </c>
      <c r="AC22" s="274"/>
      <c r="AD22" s="274"/>
      <c r="AE22" s="274"/>
      <c r="AF22" s="274"/>
      <c r="AG22" s="274"/>
      <c r="AH22" s="274"/>
      <c r="AI22" s="274"/>
      <c r="AJ22" s="274"/>
      <c r="AK22" s="274"/>
      <c r="AL22" s="274"/>
      <c r="AM22" t="s">
        <v>1558</v>
      </c>
      <c r="AN22" s="120" t="s">
        <v>79</v>
      </c>
      <c r="AO22" s="120" t="s">
        <v>99</v>
      </c>
      <c r="AP22" s="502">
        <v>27924</v>
      </c>
      <c r="AU22" t="s">
        <v>90</v>
      </c>
      <c r="AV22" s="510">
        <v>3389.3063583815028</v>
      </c>
      <c r="AX22" t="str">
        <f>AY22&amp;COUNTIF($AY$3:AY22,AY22)</f>
        <v>Bromley1</v>
      </c>
      <c r="AY22" s="512" t="s">
        <v>83</v>
      </c>
      <c r="AZ22" s="512" t="s">
        <v>103</v>
      </c>
      <c r="BA22" s="514">
        <v>5456.2529999999997</v>
      </c>
    </row>
    <row r="23" spans="1:53">
      <c r="A23" s="274"/>
      <c r="B23" s="274"/>
      <c r="C23" s="274"/>
      <c r="D23" s="274"/>
      <c r="E23" s="274" t="s">
        <v>97</v>
      </c>
      <c r="F23" s="274"/>
      <c r="G23" s="274"/>
      <c r="H23" s="274"/>
      <c r="I23" s="274"/>
      <c r="J23" s="274"/>
      <c r="K23" s="274"/>
      <c r="L23" s="274"/>
      <c r="M23" s="274"/>
      <c r="N23" s="274"/>
      <c r="O23" s="274" t="s">
        <v>670</v>
      </c>
      <c r="P23" s="277" t="s">
        <v>98</v>
      </c>
      <c r="Q23" s="275" t="str">
        <f t="shared" si="0"/>
        <v>E10000003</v>
      </c>
      <c r="R23" s="274"/>
      <c r="S23" s="274"/>
      <c r="T23" s="274"/>
      <c r="U23" s="274" t="s">
        <v>99</v>
      </c>
      <c r="V23" s="274" t="s">
        <v>100</v>
      </c>
      <c r="W23" s="276">
        <v>9297</v>
      </c>
      <c r="X23" s="274">
        <v>27924</v>
      </c>
      <c r="Y23" s="274"/>
      <c r="Z23" s="274" t="s">
        <v>670</v>
      </c>
      <c r="AA23" s="277" t="s">
        <v>98</v>
      </c>
      <c r="AB23" s="274" t="s">
        <v>670</v>
      </c>
      <c r="AC23" s="274"/>
      <c r="AD23" s="274"/>
      <c r="AE23" s="274"/>
      <c r="AF23" s="274"/>
      <c r="AG23" s="274"/>
      <c r="AH23" s="274"/>
      <c r="AI23" s="274"/>
      <c r="AJ23" s="274"/>
      <c r="AK23" s="274"/>
      <c r="AL23" s="274"/>
      <c r="AM23" t="s">
        <v>1559</v>
      </c>
      <c r="AN23" s="447" t="s">
        <v>83</v>
      </c>
      <c r="AO23" s="447" t="s">
        <v>103</v>
      </c>
      <c r="AP23" s="501">
        <v>19232</v>
      </c>
      <c r="AU23" t="s">
        <v>94</v>
      </c>
      <c r="AV23" s="510">
        <v>4001.7341040462429</v>
      </c>
      <c r="AX23" t="str">
        <f>AY23&amp;COUNTIF($AY$3:AY23,AY23)</f>
        <v>Buckinghamshire1</v>
      </c>
      <c r="AY23" s="513" t="s">
        <v>86</v>
      </c>
      <c r="AZ23" s="513" t="s">
        <v>382</v>
      </c>
      <c r="BA23" s="514">
        <v>96.052777429467085</v>
      </c>
    </row>
    <row r="24" spans="1:53">
      <c r="A24" s="274"/>
      <c r="B24" s="274"/>
      <c r="C24" s="274"/>
      <c r="D24" s="274"/>
      <c r="E24" s="274" t="s">
        <v>101</v>
      </c>
      <c r="F24" s="274"/>
      <c r="G24" s="274"/>
      <c r="H24" s="274"/>
      <c r="I24" s="274"/>
      <c r="J24" s="274"/>
      <c r="K24" s="274"/>
      <c r="L24" s="274"/>
      <c r="M24" s="274"/>
      <c r="N24" s="274"/>
      <c r="O24" s="274" t="s">
        <v>671</v>
      </c>
      <c r="P24" s="277" t="s">
        <v>102</v>
      </c>
      <c r="Q24" s="275" t="str">
        <f t="shared" si="0"/>
        <v>E09000007</v>
      </c>
      <c r="R24" s="274"/>
      <c r="S24" s="274"/>
      <c r="T24" s="274"/>
      <c r="U24" s="274" t="s">
        <v>103</v>
      </c>
      <c r="V24" s="274" t="s">
        <v>104</v>
      </c>
      <c r="W24" s="276">
        <v>5456</v>
      </c>
      <c r="X24" s="274">
        <v>19232</v>
      </c>
      <c r="Y24" s="274"/>
      <c r="Z24" s="274" t="s">
        <v>671</v>
      </c>
      <c r="AA24" s="277" t="s">
        <v>102</v>
      </c>
      <c r="AB24" s="274" t="s">
        <v>671</v>
      </c>
      <c r="AC24" s="274"/>
      <c r="AD24" s="274"/>
      <c r="AE24" s="274"/>
      <c r="AF24" s="274"/>
      <c r="AG24" s="274"/>
      <c r="AH24" s="274"/>
      <c r="AI24" s="274"/>
      <c r="AJ24" s="274"/>
      <c r="AK24" s="274"/>
      <c r="AL24" s="274"/>
      <c r="AM24" t="s">
        <v>1560</v>
      </c>
      <c r="AN24" s="120" t="s">
        <v>86</v>
      </c>
      <c r="AO24" s="120" t="s">
        <v>382</v>
      </c>
      <c r="AP24" s="502">
        <v>340</v>
      </c>
      <c r="AU24" t="s">
        <v>98</v>
      </c>
      <c r="AV24" s="510">
        <v>9956.9364161849717</v>
      </c>
      <c r="AX24" t="str">
        <f>AY24&amp;COUNTIF($AY$3:AY24,AY24)</f>
        <v>Buckinghamshire2</v>
      </c>
      <c r="AY24" s="513" t="s">
        <v>86</v>
      </c>
      <c r="AZ24" s="513" t="s">
        <v>140</v>
      </c>
      <c r="BA24" s="514">
        <v>4682.57289968652</v>
      </c>
    </row>
    <row r="25" spans="1:53">
      <c r="A25" s="274"/>
      <c r="B25" s="274"/>
      <c r="C25" s="274"/>
      <c r="D25" s="274"/>
      <c r="E25" s="274" t="s">
        <v>105</v>
      </c>
      <c r="F25" s="274"/>
      <c r="G25" s="274"/>
      <c r="H25" s="274"/>
      <c r="I25" s="274"/>
      <c r="J25" s="274"/>
      <c r="K25" s="274"/>
      <c r="L25" s="274"/>
      <c r="M25" s="274"/>
      <c r="N25" s="274"/>
      <c r="O25" s="274" t="s">
        <v>672</v>
      </c>
      <c r="P25" s="277" t="s">
        <v>106</v>
      </c>
      <c r="Q25" s="275" t="str">
        <f t="shared" si="0"/>
        <v>E06000056</v>
      </c>
      <c r="R25" s="274"/>
      <c r="S25" s="274"/>
      <c r="T25" s="274"/>
      <c r="U25" s="274" t="s">
        <v>107</v>
      </c>
      <c r="V25" s="274" t="s">
        <v>108</v>
      </c>
      <c r="W25" s="276">
        <v>3743</v>
      </c>
      <c r="X25" s="274">
        <v>11727</v>
      </c>
      <c r="Y25" s="274"/>
      <c r="Z25" s="274" t="s">
        <v>672</v>
      </c>
      <c r="AA25" s="277" t="s">
        <v>106</v>
      </c>
      <c r="AB25" s="274" t="s">
        <v>672</v>
      </c>
      <c r="AC25" s="274"/>
      <c r="AD25" s="274"/>
      <c r="AE25" s="274"/>
      <c r="AF25" s="274"/>
      <c r="AG25" s="274"/>
      <c r="AH25" s="274"/>
      <c r="AI25" s="274"/>
      <c r="AJ25" s="274"/>
      <c r="AK25" s="274"/>
      <c r="AL25" s="274"/>
      <c r="AM25" t="s">
        <v>1561</v>
      </c>
      <c r="AN25" s="120" t="s">
        <v>86</v>
      </c>
      <c r="AO25" s="120" t="s">
        <v>140</v>
      </c>
      <c r="AP25" s="502">
        <v>16088</v>
      </c>
      <c r="AU25" t="s">
        <v>102</v>
      </c>
      <c r="AV25" s="510">
        <v>5251.4450867052019</v>
      </c>
      <c r="AX25" t="str">
        <f>AY25&amp;COUNTIF($AY$3:AY25,AY25)</f>
        <v>Buckinghamshire3</v>
      </c>
      <c r="AY25" s="513" t="s">
        <v>86</v>
      </c>
      <c r="AZ25" s="513" t="s">
        <v>17</v>
      </c>
      <c r="BA25" s="514">
        <v>2881.5833228840124</v>
      </c>
    </row>
    <row r="26" spans="1:53">
      <c r="A26" s="274"/>
      <c r="B26" s="274"/>
      <c r="C26" s="274"/>
      <c r="D26" s="274"/>
      <c r="E26" s="274" t="s">
        <v>109</v>
      </c>
      <c r="F26" s="274"/>
      <c r="G26" s="274"/>
      <c r="H26" s="274"/>
      <c r="I26" s="274"/>
      <c r="J26" s="274"/>
      <c r="K26" s="274"/>
      <c r="L26" s="274"/>
      <c r="M26" s="274"/>
      <c r="N26" s="274"/>
      <c r="O26" s="274" t="s">
        <v>673</v>
      </c>
      <c r="P26" s="277" t="s">
        <v>110</v>
      </c>
      <c r="Q26" s="275" t="str">
        <f t="shared" si="0"/>
        <v>E06000049</v>
      </c>
      <c r="R26" s="274"/>
      <c r="S26" s="274"/>
      <c r="T26" s="274"/>
      <c r="U26" s="274" t="s">
        <v>111</v>
      </c>
      <c r="V26" s="274" t="s">
        <v>112</v>
      </c>
      <c r="W26" s="276">
        <v>4219</v>
      </c>
      <c r="X26" s="274">
        <v>13846</v>
      </c>
      <c r="Y26" s="274"/>
      <c r="Z26" s="274" t="s">
        <v>673</v>
      </c>
      <c r="AA26" s="277" t="s">
        <v>110</v>
      </c>
      <c r="AB26" s="274" t="s">
        <v>673</v>
      </c>
      <c r="AC26" s="274"/>
      <c r="AD26" s="274"/>
      <c r="AE26" s="274"/>
      <c r="AF26" s="274"/>
      <c r="AG26" s="274"/>
      <c r="AH26" s="274"/>
      <c r="AI26" s="274"/>
      <c r="AJ26" s="274"/>
      <c r="AK26" s="274"/>
      <c r="AL26" s="274"/>
      <c r="AM26" t="s">
        <v>1562</v>
      </c>
      <c r="AN26" s="120" t="s">
        <v>86</v>
      </c>
      <c r="AO26" s="120" t="s">
        <v>17</v>
      </c>
      <c r="AP26" s="502">
        <v>9959</v>
      </c>
      <c r="AU26" t="s">
        <v>106</v>
      </c>
      <c r="AV26" s="510">
        <v>4032.9479768786127</v>
      </c>
      <c r="AX26" t="str">
        <f>AY26&amp;COUNTIF($AY$3:AY26,AY26)</f>
        <v>Bury1</v>
      </c>
      <c r="AY26" s="512" t="s">
        <v>90</v>
      </c>
      <c r="AZ26" s="512" t="s">
        <v>107</v>
      </c>
      <c r="BA26" s="514">
        <v>3743.2579999999998</v>
      </c>
    </row>
    <row r="27" spans="1:53">
      <c r="A27" s="274"/>
      <c r="B27" s="274"/>
      <c r="C27" s="274"/>
      <c r="D27" s="274"/>
      <c r="E27" s="274" t="s">
        <v>113</v>
      </c>
      <c r="F27" s="274"/>
      <c r="G27" s="274"/>
      <c r="H27" s="274"/>
      <c r="I27" s="274"/>
      <c r="J27" s="274"/>
      <c r="K27" s="274"/>
      <c r="L27" s="274"/>
      <c r="M27" s="274"/>
      <c r="N27" s="274"/>
      <c r="O27" s="274" t="s">
        <v>674</v>
      </c>
      <c r="P27" s="277" t="s">
        <v>114</v>
      </c>
      <c r="Q27" s="275" t="str">
        <f t="shared" si="0"/>
        <v>E06000050</v>
      </c>
      <c r="R27" s="274"/>
      <c r="S27" s="274"/>
      <c r="T27" s="274"/>
      <c r="U27" s="274" t="s">
        <v>115</v>
      </c>
      <c r="V27" s="274" t="s">
        <v>116</v>
      </c>
      <c r="W27" s="276">
        <v>14857</v>
      </c>
      <c r="X27" s="274">
        <v>47034</v>
      </c>
      <c r="Y27" s="274"/>
      <c r="Z27" s="274" t="s">
        <v>674</v>
      </c>
      <c r="AA27" s="277" t="s">
        <v>114</v>
      </c>
      <c r="AB27" s="274" t="s">
        <v>674</v>
      </c>
      <c r="AC27" s="274"/>
      <c r="AD27" s="274"/>
      <c r="AE27" s="274"/>
      <c r="AF27" s="274"/>
      <c r="AG27" s="274"/>
      <c r="AH27" s="274"/>
      <c r="AI27" s="274"/>
      <c r="AJ27" s="274"/>
      <c r="AK27" s="274"/>
      <c r="AL27" s="274"/>
      <c r="AM27" t="s">
        <v>1563</v>
      </c>
      <c r="AN27" s="120"/>
      <c r="AO27" s="120" t="s">
        <v>1295</v>
      </c>
      <c r="AP27" s="502" t="s">
        <v>1295</v>
      </c>
      <c r="AU27" t="s">
        <v>110</v>
      </c>
      <c r="AV27" s="510">
        <v>6385.2601156069359</v>
      </c>
      <c r="AX27" t="str">
        <f>AY27&amp;COUNTIF($AY$3:AY27,AY27)</f>
        <v>Calderdale1</v>
      </c>
      <c r="AY27" s="512" t="s">
        <v>94</v>
      </c>
      <c r="AZ27" s="512" t="s">
        <v>111</v>
      </c>
      <c r="BA27" s="514">
        <v>4219.4939999999997</v>
      </c>
    </row>
    <row r="28" spans="1:53">
      <c r="A28" s="274"/>
      <c r="B28" s="274"/>
      <c r="C28" s="274"/>
      <c r="D28" s="274"/>
      <c r="E28" s="274"/>
      <c r="F28" s="274"/>
      <c r="G28" s="274"/>
      <c r="H28" s="274"/>
      <c r="I28" s="274"/>
      <c r="J28" s="274"/>
      <c r="K28" s="274"/>
      <c r="L28" s="274"/>
      <c r="M28" s="274"/>
      <c r="N28" s="274"/>
      <c r="O28" s="274" t="s">
        <v>675</v>
      </c>
      <c r="P28" s="277" t="s">
        <v>117</v>
      </c>
      <c r="Q28" s="275" t="str">
        <f t="shared" si="0"/>
        <v>E09000001</v>
      </c>
      <c r="R28" s="274"/>
      <c r="S28" s="274"/>
      <c r="T28" s="274"/>
      <c r="U28" s="274" t="s">
        <v>118</v>
      </c>
      <c r="V28" s="274" t="s">
        <v>119</v>
      </c>
      <c r="W28" s="276">
        <v>5893</v>
      </c>
      <c r="X28" s="274">
        <v>18170</v>
      </c>
      <c r="Y28" s="274"/>
      <c r="Z28" s="274" t="s">
        <v>675</v>
      </c>
      <c r="AA28" s="277" t="s">
        <v>117</v>
      </c>
      <c r="AB28" s="274" t="s">
        <v>675</v>
      </c>
      <c r="AC28" s="274"/>
      <c r="AD28" s="274"/>
      <c r="AE28" s="274"/>
      <c r="AF28" s="274"/>
      <c r="AG28" s="274"/>
      <c r="AH28" s="274"/>
      <c r="AI28" s="274"/>
      <c r="AJ28" s="274"/>
      <c r="AK28" s="274"/>
      <c r="AL28" s="274"/>
      <c r="AM28" t="s">
        <v>1564</v>
      </c>
      <c r="AN28" s="447" t="s">
        <v>90</v>
      </c>
      <c r="AO28" s="447" t="s">
        <v>107</v>
      </c>
      <c r="AP28" s="501">
        <v>11727</v>
      </c>
      <c r="AU28" t="s">
        <v>114</v>
      </c>
      <c r="AV28" s="510">
        <v>6389.3063583815028</v>
      </c>
      <c r="AX28" t="str">
        <f>AY28&amp;COUNTIF($AY$3:AY28,AY28)</f>
        <v>Cambridgeshire1</v>
      </c>
      <c r="AY28" s="512" t="s">
        <v>98</v>
      </c>
      <c r="AZ28" s="512" t="s">
        <v>115</v>
      </c>
      <c r="BA28" s="514">
        <v>10651.925999999999</v>
      </c>
    </row>
    <row r="29" spans="1:53">
      <c r="A29" s="274"/>
      <c r="B29" s="274"/>
      <c r="C29" s="274"/>
      <c r="D29" s="274"/>
      <c r="E29" s="278" t="s">
        <v>120</v>
      </c>
      <c r="F29" s="274"/>
      <c r="G29" s="274"/>
      <c r="H29" s="274"/>
      <c r="I29" s="274"/>
      <c r="J29" s="274"/>
      <c r="K29" s="274"/>
      <c r="L29" s="274"/>
      <c r="M29" s="274"/>
      <c r="N29" s="274"/>
      <c r="O29" s="274" t="s">
        <v>676</v>
      </c>
      <c r="P29" s="277" t="s">
        <v>121</v>
      </c>
      <c r="Q29" s="275" t="str">
        <f t="shared" si="0"/>
        <v>E06000052</v>
      </c>
      <c r="R29" s="274"/>
      <c r="S29" s="274"/>
      <c r="T29" s="274"/>
      <c r="U29" s="274" t="s">
        <v>122</v>
      </c>
      <c r="V29" s="274" t="s">
        <v>123</v>
      </c>
      <c r="W29" s="276">
        <v>2521</v>
      </c>
      <c r="X29" s="274">
        <v>8048</v>
      </c>
      <c r="Y29" s="274"/>
      <c r="Z29" s="274" t="s">
        <v>676</v>
      </c>
      <c r="AA29" s="277" t="s">
        <v>121</v>
      </c>
      <c r="AB29" s="274" t="s">
        <v>676</v>
      </c>
      <c r="AC29" s="274"/>
      <c r="AD29" s="274"/>
      <c r="AE29" s="274"/>
      <c r="AF29" s="274"/>
      <c r="AG29" s="274"/>
      <c r="AH29" s="274"/>
      <c r="AI29" s="274"/>
      <c r="AJ29" s="274"/>
      <c r="AK29" s="274"/>
      <c r="AL29" s="274"/>
      <c r="AM29" t="s">
        <v>1565</v>
      </c>
      <c r="AN29" s="120" t="s">
        <v>94</v>
      </c>
      <c r="AO29" s="120" t="s">
        <v>111</v>
      </c>
      <c r="AP29" s="502">
        <v>13846</v>
      </c>
      <c r="AU29" t="s">
        <v>117</v>
      </c>
      <c r="AV29" s="510">
        <v>211.56069364161849</v>
      </c>
      <c r="AX29" t="str">
        <f>AY29&amp;COUNTIF($AY$3:AY29,AY29)</f>
        <v>Camden1</v>
      </c>
      <c r="AY29" s="512" t="s">
        <v>102</v>
      </c>
      <c r="AZ29" s="512" t="s">
        <v>118</v>
      </c>
      <c r="BA29" s="514">
        <v>5893.076</v>
      </c>
    </row>
    <row r="30" spans="1:53">
      <c r="A30" s="274"/>
      <c r="B30" s="274"/>
      <c r="C30" s="274"/>
      <c r="D30" s="274"/>
      <c r="E30" s="274"/>
      <c r="F30" s="274"/>
      <c r="G30" s="274"/>
      <c r="H30" s="274"/>
      <c r="I30" s="274"/>
      <c r="J30" s="274"/>
      <c r="K30" s="274"/>
      <c r="L30" s="274"/>
      <c r="M30" s="274"/>
      <c r="N30" s="274"/>
      <c r="O30" s="274" t="s">
        <v>677</v>
      </c>
      <c r="P30" s="277" t="s">
        <v>124</v>
      </c>
      <c r="Q30" s="275" t="str">
        <f t="shared" si="0"/>
        <v>E06000047</v>
      </c>
      <c r="R30" s="274"/>
      <c r="S30" s="274"/>
      <c r="T30" s="274"/>
      <c r="U30" s="274" t="s">
        <v>125</v>
      </c>
      <c r="V30" s="274" t="s">
        <v>126</v>
      </c>
      <c r="W30" s="276">
        <v>3727</v>
      </c>
      <c r="X30" s="274">
        <v>12564</v>
      </c>
      <c r="Y30" s="274"/>
      <c r="Z30" s="274" t="s">
        <v>677</v>
      </c>
      <c r="AA30" s="277" t="s">
        <v>124</v>
      </c>
      <c r="AB30" s="274" t="s">
        <v>677</v>
      </c>
      <c r="AC30" s="274"/>
      <c r="AD30" s="274"/>
      <c r="AE30" s="274"/>
      <c r="AF30" s="274"/>
      <c r="AG30" s="274"/>
      <c r="AH30" s="274"/>
      <c r="AI30" s="274"/>
      <c r="AJ30" s="274"/>
      <c r="AK30" s="274"/>
      <c r="AL30" s="274"/>
      <c r="AM30" t="s">
        <v>1566</v>
      </c>
      <c r="AN30" s="447" t="s">
        <v>98</v>
      </c>
      <c r="AO30" s="447" t="s">
        <v>115</v>
      </c>
      <c r="AP30" s="501">
        <v>34451</v>
      </c>
      <c r="AU30" t="s">
        <v>121</v>
      </c>
      <c r="AV30" s="510">
        <v>10934.971098265896</v>
      </c>
      <c r="AX30" t="str">
        <f>AY30&amp;COUNTIF($AY$3:AY30,AY30)</f>
        <v>Central Bedfordshire1</v>
      </c>
      <c r="AY30" s="512" t="s">
        <v>106</v>
      </c>
      <c r="AZ30" s="512" t="s">
        <v>53</v>
      </c>
      <c r="BA30" s="514">
        <v>3969.0390000000002</v>
      </c>
    </row>
    <row r="31" spans="1:53">
      <c r="A31" s="274"/>
      <c r="B31" s="274"/>
      <c r="C31" s="274"/>
      <c r="D31" s="274"/>
      <c r="E31" s="274" t="s">
        <v>127</v>
      </c>
      <c r="F31" s="274"/>
      <c r="G31" s="274"/>
      <c r="H31" s="274"/>
      <c r="I31" s="274"/>
      <c r="J31" s="274"/>
      <c r="K31" s="274"/>
      <c r="L31" s="274"/>
      <c r="M31" s="274"/>
      <c r="N31" s="274"/>
      <c r="O31" s="274" t="s">
        <v>678</v>
      </c>
      <c r="P31" s="277" t="s">
        <v>128</v>
      </c>
      <c r="Q31" s="275" t="str">
        <f t="shared" si="0"/>
        <v>E08000026</v>
      </c>
      <c r="R31" s="274"/>
      <c r="S31" s="274"/>
      <c r="T31" s="274"/>
      <c r="U31" s="274" t="s">
        <v>129</v>
      </c>
      <c r="V31" s="274" t="s">
        <v>130</v>
      </c>
      <c r="W31" s="276">
        <v>3422</v>
      </c>
      <c r="X31" s="274">
        <v>10833</v>
      </c>
      <c r="Y31" s="274"/>
      <c r="Z31" s="274" t="s">
        <v>678</v>
      </c>
      <c r="AA31" s="277" t="s">
        <v>128</v>
      </c>
      <c r="AB31" s="274" t="s">
        <v>678</v>
      </c>
      <c r="AC31" s="274"/>
      <c r="AD31" s="274"/>
      <c r="AE31" s="274"/>
      <c r="AF31" s="274"/>
      <c r="AG31" s="274"/>
      <c r="AH31" s="274"/>
      <c r="AI31" s="274"/>
      <c r="AJ31" s="274"/>
      <c r="AK31" s="274"/>
      <c r="AL31" s="274"/>
      <c r="AM31" t="s">
        <v>1563</v>
      </c>
      <c r="AN31" s="447"/>
      <c r="AO31" s="447"/>
      <c r="AP31" s="501" t="s">
        <v>1295</v>
      </c>
      <c r="AU31" t="s">
        <v>124</v>
      </c>
      <c r="AV31" s="510">
        <v>11327.456647398843</v>
      </c>
      <c r="AX31" t="str">
        <f>AY31&amp;COUNTIF($AY$3:AY31,AY31)</f>
        <v>Cheshire East1</v>
      </c>
      <c r="AY31" s="513" t="s">
        <v>110</v>
      </c>
      <c r="AZ31" s="513" t="s">
        <v>224</v>
      </c>
      <c r="BA31" s="514">
        <v>3466.4454358974363</v>
      </c>
    </row>
    <row r="32" spans="1:53">
      <c r="A32" s="274"/>
      <c r="B32" s="274"/>
      <c r="C32" s="274"/>
      <c r="D32" s="274"/>
      <c r="E32" s="274" t="s">
        <v>131</v>
      </c>
      <c r="F32" s="274"/>
      <c r="G32" s="274"/>
      <c r="H32" s="274"/>
      <c r="I32" s="274"/>
      <c r="J32" s="274"/>
      <c r="K32" s="274"/>
      <c r="L32" s="274"/>
      <c r="M32" s="274"/>
      <c r="N32" s="274"/>
      <c r="O32" s="274" t="s">
        <v>679</v>
      </c>
      <c r="P32" s="277" t="s">
        <v>132</v>
      </c>
      <c r="Q32" s="275" t="str">
        <f t="shared" si="0"/>
        <v>E09000008</v>
      </c>
      <c r="R32" s="274"/>
      <c r="S32" s="274"/>
      <c r="T32" s="274"/>
      <c r="U32" s="274" t="s">
        <v>133</v>
      </c>
      <c r="V32" s="274" t="s">
        <v>134</v>
      </c>
      <c r="W32" s="276">
        <v>4454</v>
      </c>
      <c r="X32" s="274">
        <v>13553</v>
      </c>
      <c r="Y32" s="274"/>
      <c r="Z32" s="274" t="s">
        <v>679</v>
      </c>
      <c r="AA32" s="277" t="s">
        <v>132</v>
      </c>
      <c r="AB32" s="274" t="s">
        <v>679</v>
      </c>
      <c r="AC32" s="274"/>
      <c r="AD32" s="274"/>
      <c r="AE32" s="274"/>
      <c r="AF32" s="274"/>
      <c r="AG32" s="274"/>
      <c r="AH32" s="274"/>
      <c r="AI32" s="274"/>
      <c r="AJ32" s="274"/>
      <c r="AK32" s="274"/>
      <c r="AL32" s="274"/>
      <c r="AM32" t="s">
        <v>1563</v>
      </c>
      <c r="AN32" s="447"/>
      <c r="AO32" s="447"/>
      <c r="AP32" s="501" t="s">
        <v>1295</v>
      </c>
      <c r="AU32" t="s">
        <v>128</v>
      </c>
      <c r="AV32" s="510">
        <v>6294.2196531791906</v>
      </c>
      <c r="AX32" t="str">
        <f>AY32&amp;COUNTIF($AY$3:AY32,AY32)</f>
        <v>Cheshire East2</v>
      </c>
      <c r="AY32" s="513" t="s">
        <v>110</v>
      </c>
      <c r="AZ32" s="513" t="s">
        <v>514</v>
      </c>
      <c r="BA32" s="514">
        <v>3182.3105641025645</v>
      </c>
    </row>
    <row r="33" spans="1:53">
      <c r="A33" s="274"/>
      <c r="B33" s="274"/>
      <c r="C33" s="274"/>
      <c r="D33" s="274"/>
      <c r="E33" s="274" t="s">
        <v>135</v>
      </c>
      <c r="F33" s="274"/>
      <c r="G33" s="274"/>
      <c r="H33" s="274"/>
      <c r="I33" s="274"/>
      <c r="J33" s="274"/>
      <c r="K33" s="274"/>
      <c r="L33" s="274"/>
      <c r="M33" s="274"/>
      <c r="N33" s="274"/>
      <c r="O33" s="274" t="s">
        <v>680</v>
      </c>
      <c r="P33" s="277" t="s">
        <v>136</v>
      </c>
      <c r="Q33" s="275" t="str">
        <f t="shared" si="0"/>
        <v>E10000006</v>
      </c>
      <c r="R33" s="274"/>
      <c r="S33" s="274"/>
      <c r="T33" s="274"/>
      <c r="U33" s="274" t="s">
        <v>137</v>
      </c>
      <c r="V33" s="274" t="s">
        <v>138</v>
      </c>
      <c r="W33" s="276">
        <v>3943</v>
      </c>
      <c r="X33" s="274">
        <v>12564</v>
      </c>
      <c r="Y33" s="274"/>
      <c r="Z33" s="274" t="s">
        <v>680</v>
      </c>
      <c r="AA33" s="277" t="s">
        <v>136</v>
      </c>
      <c r="AB33" s="274" t="s">
        <v>680</v>
      </c>
      <c r="AC33" s="274"/>
      <c r="AD33" s="274"/>
      <c r="AE33" s="274"/>
      <c r="AF33" s="274"/>
      <c r="AG33" s="274"/>
      <c r="AH33" s="274"/>
      <c r="AI33" s="274"/>
      <c r="AJ33" s="274"/>
      <c r="AK33" s="274"/>
      <c r="AL33" s="274"/>
      <c r="AM33" t="s">
        <v>1563</v>
      </c>
      <c r="AN33" s="447"/>
      <c r="AO33" s="447"/>
      <c r="AP33" s="501" t="s">
        <v>1295</v>
      </c>
      <c r="AU33" t="s">
        <v>132</v>
      </c>
      <c r="AV33" s="510">
        <v>6213.2947976878613</v>
      </c>
      <c r="AX33" t="str">
        <f>AY33&amp;COUNTIF($AY$3:AY33,AY33)</f>
        <v>Cheshire West and Chester1</v>
      </c>
      <c r="AY33" s="513" t="s">
        <v>114</v>
      </c>
      <c r="AZ33" s="513" t="s">
        <v>591</v>
      </c>
      <c r="BA33" s="514">
        <v>2030.114113207547</v>
      </c>
    </row>
    <row r="34" spans="1:53">
      <c r="A34" s="274"/>
      <c r="B34" s="274"/>
      <c r="C34" s="274"/>
      <c r="D34" s="274"/>
      <c r="E34" s="274"/>
      <c r="F34" s="274"/>
      <c r="G34" s="274"/>
      <c r="H34" s="274"/>
      <c r="I34" s="274"/>
      <c r="J34" s="274"/>
      <c r="K34" s="274"/>
      <c r="L34" s="274"/>
      <c r="M34" s="274"/>
      <c r="N34" s="274"/>
      <c r="O34" s="274" t="s">
        <v>681</v>
      </c>
      <c r="P34" s="277" t="s">
        <v>139</v>
      </c>
      <c r="Q34" s="275" t="str">
        <f t="shared" si="0"/>
        <v>E06000005</v>
      </c>
      <c r="R34" s="274"/>
      <c r="S34" s="274"/>
      <c r="T34" s="274"/>
      <c r="U34" s="274" t="s">
        <v>140</v>
      </c>
      <c r="V34" s="274" t="s">
        <v>141</v>
      </c>
      <c r="W34" s="276">
        <v>4683</v>
      </c>
      <c r="X34" s="274">
        <v>16088</v>
      </c>
      <c r="Y34" s="274"/>
      <c r="Z34" s="274" t="s">
        <v>681</v>
      </c>
      <c r="AA34" s="277" t="s">
        <v>139</v>
      </c>
      <c r="AB34" s="274" t="s">
        <v>681</v>
      </c>
      <c r="AC34" s="274"/>
      <c r="AD34" s="274"/>
      <c r="AE34" s="274"/>
      <c r="AF34" s="274"/>
      <c r="AG34" s="274"/>
      <c r="AH34" s="274"/>
      <c r="AI34" s="274"/>
      <c r="AJ34" s="274"/>
      <c r="AK34" s="274"/>
      <c r="AL34" s="274"/>
      <c r="AM34" t="s">
        <v>1563</v>
      </c>
      <c r="AN34" s="447"/>
      <c r="AO34" s="447"/>
      <c r="AP34" s="501" t="s">
        <v>1295</v>
      </c>
      <c r="AU34" t="s">
        <v>136</v>
      </c>
      <c r="AV34" s="510">
        <v>10408.381502890174</v>
      </c>
      <c r="AX34" t="str">
        <f>AY34&amp;COUNTIF($AY$3:AY34,AY34)</f>
        <v>Cheshire West and Chester2</v>
      </c>
      <c r="AY34" s="513" t="s">
        <v>114</v>
      </c>
      <c r="AZ34" s="513" t="s">
        <v>605</v>
      </c>
      <c r="BA34" s="514">
        <v>4694.6388867924525</v>
      </c>
    </row>
    <row r="35" spans="1:53">
      <c r="A35" s="274"/>
      <c r="B35" s="274"/>
      <c r="C35" s="274"/>
      <c r="D35" s="274"/>
      <c r="E35" s="278" t="s">
        <v>142</v>
      </c>
      <c r="F35" s="274"/>
      <c r="G35" s="274"/>
      <c r="H35" s="274"/>
      <c r="I35" s="274"/>
      <c r="J35" s="274"/>
      <c r="K35" s="274"/>
      <c r="L35" s="274"/>
      <c r="M35" s="274"/>
      <c r="N35" s="274"/>
      <c r="O35" s="274" t="s">
        <v>682</v>
      </c>
      <c r="P35" s="277" t="s">
        <v>143</v>
      </c>
      <c r="Q35" s="275" t="str">
        <f t="shared" si="0"/>
        <v>E06000015</v>
      </c>
      <c r="R35" s="274"/>
      <c r="S35" s="274"/>
      <c r="T35" s="274"/>
      <c r="U35" s="274" t="s">
        <v>144</v>
      </c>
      <c r="V35" s="274" t="s">
        <v>145</v>
      </c>
      <c r="W35" s="276">
        <v>3412</v>
      </c>
      <c r="X35" s="274">
        <v>11332</v>
      </c>
      <c r="Y35" s="274"/>
      <c r="Z35" s="274" t="s">
        <v>682</v>
      </c>
      <c r="AA35" s="277" t="s">
        <v>143</v>
      </c>
      <c r="AB35" s="274" t="s">
        <v>682</v>
      </c>
      <c r="AC35" s="274"/>
      <c r="AD35" s="274"/>
      <c r="AE35" s="274"/>
      <c r="AF35" s="274"/>
      <c r="AG35" s="274"/>
      <c r="AH35" s="274"/>
      <c r="AI35" s="274"/>
      <c r="AJ35" s="274"/>
      <c r="AK35" s="274"/>
      <c r="AL35" s="274"/>
      <c r="AM35" t="s">
        <v>1567</v>
      </c>
      <c r="AN35" s="120" t="s">
        <v>102</v>
      </c>
      <c r="AO35" s="120" t="s">
        <v>118</v>
      </c>
      <c r="AP35" s="502">
        <v>18170</v>
      </c>
      <c r="AU35" t="s">
        <v>139</v>
      </c>
      <c r="AV35" s="510">
        <v>2073.6994219653179</v>
      </c>
      <c r="AX35" t="str">
        <f>AY35&amp;COUNTIF($AY$3:AY35,AY35)</f>
        <v>City of London1</v>
      </c>
      <c r="AY35" s="512" t="s">
        <v>117</v>
      </c>
      <c r="AZ35" s="512" t="s">
        <v>147</v>
      </c>
      <c r="BA35" s="514">
        <v>223.624</v>
      </c>
    </row>
    <row r="36" spans="1:53">
      <c r="A36" s="274"/>
      <c r="B36" s="274"/>
      <c r="C36" s="274"/>
      <c r="D36" s="274"/>
      <c r="E36" s="274"/>
      <c r="F36" s="274"/>
      <c r="G36" s="274"/>
      <c r="H36" s="274"/>
      <c r="I36" s="274"/>
      <c r="J36" s="274"/>
      <c r="K36" s="274"/>
      <c r="L36" s="274"/>
      <c r="M36" s="274"/>
      <c r="N36" s="274"/>
      <c r="O36" s="274" t="s">
        <v>683</v>
      </c>
      <c r="P36" s="277" t="s">
        <v>146</v>
      </c>
      <c r="Q36" s="275" t="str">
        <f t="shared" si="0"/>
        <v>E10000007</v>
      </c>
      <c r="R36" s="274"/>
      <c r="S36" s="274"/>
      <c r="T36" s="274"/>
      <c r="U36" s="274" t="s">
        <v>147</v>
      </c>
      <c r="V36" s="274" t="s">
        <v>148</v>
      </c>
      <c r="W36" s="276">
        <v>6663</v>
      </c>
      <c r="X36" s="274">
        <v>19381</v>
      </c>
      <c r="Y36" s="274"/>
      <c r="Z36" s="274" t="s">
        <v>683</v>
      </c>
      <c r="AA36" s="277" t="s">
        <v>146</v>
      </c>
      <c r="AB36" s="274" t="s">
        <v>683</v>
      </c>
      <c r="AC36" s="274"/>
      <c r="AD36" s="274"/>
      <c r="AE36" s="274"/>
      <c r="AF36" s="274"/>
      <c r="AG36" s="274"/>
      <c r="AH36" s="274"/>
      <c r="AI36" s="274"/>
      <c r="AJ36" s="274"/>
      <c r="AK36" s="274"/>
      <c r="AL36" s="274"/>
      <c r="AM36" t="s">
        <v>1568</v>
      </c>
      <c r="AN36" s="447" t="s">
        <v>106</v>
      </c>
      <c r="AO36" s="447" t="s">
        <v>53</v>
      </c>
      <c r="AP36" s="501">
        <v>13954</v>
      </c>
      <c r="AU36" t="s">
        <v>143</v>
      </c>
      <c r="AV36" s="510">
        <v>4585.5491329479764</v>
      </c>
      <c r="AX36" t="str">
        <f>AY36&amp;COUNTIF($AY$3:AY36,AY36)</f>
        <v>Cornwall1</v>
      </c>
      <c r="AY36" s="512" t="s">
        <v>121</v>
      </c>
      <c r="AZ36" s="512" t="s">
        <v>328</v>
      </c>
      <c r="BA36" s="514">
        <v>12803.01</v>
      </c>
    </row>
    <row r="37" spans="1:53">
      <c r="A37" s="274"/>
      <c r="B37" s="274"/>
      <c r="C37" s="274"/>
      <c r="D37" s="274"/>
      <c r="E37" s="279" t="s">
        <v>149</v>
      </c>
      <c r="F37" s="274"/>
      <c r="G37" s="274"/>
      <c r="H37" s="274"/>
      <c r="I37" s="274"/>
      <c r="J37" s="274"/>
      <c r="K37" s="274"/>
      <c r="L37" s="274"/>
      <c r="M37" s="274"/>
      <c r="N37" s="274"/>
      <c r="O37" s="274" t="s">
        <v>684</v>
      </c>
      <c r="P37" s="277" t="s">
        <v>150</v>
      </c>
      <c r="Q37" s="275" t="str">
        <f t="shared" si="0"/>
        <v>E10000008</v>
      </c>
      <c r="R37" s="274"/>
      <c r="S37" s="274"/>
      <c r="T37" s="274"/>
      <c r="U37" s="274" t="s">
        <v>151</v>
      </c>
      <c r="V37" s="274" t="s">
        <v>152</v>
      </c>
      <c r="W37" s="276">
        <v>8935</v>
      </c>
      <c r="X37" s="274">
        <v>31215</v>
      </c>
      <c r="Y37" s="274"/>
      <c r="Z37" s="274" t="s">
        <v>684</v>
      </c>
      <c r="AA37" s="277" t="s">
        <v>150</v>
      </c>
      <c r="AB37" s="274" t="s">
        <v>684</v>
      </c>
      <c r="AC37" s="274"/>
      <c r="AD37" s="274"/>
      <c r="AE37" s="274"/>
      <c r="AF37" s="274"/>
      <c r="AG37" s="274"/>
      <c r="AH37" s="274"/>
      <c r="AI37" s="274"/>
      <c r="AJ37" s="274"/>
      <c r="AK37" s="274"/>
      <c r="AL37" s="274"/>
      <c r="AM37" t="s">
        <v>1569</v>
      </c>
      <c r="AN37" s="120" t="s">
        <v>110</v>
      </c>
      <c r="AO37" s="120" t="s">
        <v>514</v>
      </c>
      <c r="AP37" s="502">
        <v>10481</v>
      </c>
      <c r="AU37" t="s">
        <v>146</v>
      </c>
      <c r="AV37" s="510">
        <v>15070.231213872834</v>
      </c>
      <c r="AX37" t="str">
        <f>AY37&amp;COUNTIF($AY$3:AY37,AY37)</f>
        <v>County Durham1</v>
      </c>
      <c r="AY37" s="513" t="s">
        <v>124</v>
      </c>
      <c r="AZ37" s="513" t="s">
        <v>193</v>
      </c>
      <c r="BA37" s="514">
        <v>7146.6788641975318</v>
      </c>
    </row>
    <row r="38" spans="1:53">
      <c r="A38" s="274"/>
      <c r="B38" s="274"/>
      <c r="C38" s="274"/>
      <c r="D38" s="274"/>
      <c r="E38" s="274" t="s">
        <v>153</v>
      </c>
      <c r="F38" s="274"/>
      <c r="G38" s="274"/>
      <c r="H38" s="274"/>
      <c r="I38" s="274"/>
      <c r="J38" s="274"/>
      <c r="K38" s="274"/>
      <c r="L38" s="274"/>
      <c r="M38" s="274"/>
      <c r="N38" s="274"/>
      <c r="O38" s="274" t="s">
        <v>685</v>
      </c>
      <c r="P38" s="277" t="s">
        <v>154</v>
      </c>
      <c r="Q38" s="275" t="str">
        <f t="shared" si="0"/>
        <v>E08000017</v>
      </c>
      <c r="R38" s="274"/>
      <c r="S38" s="274"/>
      <c r="T38" s="274"/>
      <c r="U38" s="274" t="s">
        <v>155</v>
      </c>
      <c r="V38" s="274" t="s">
        <v>156</v>
      </c>
      <c r="W38" s="276">
        <v>1210</v>
      </c>
      <c r="X38" s="274">
        <v>4123</v>
      </c>
      <c r="Y38" s="274"/>
      <c r="Z38" s="274" t="s">
        <v>685</v>
      </c>
      <c r="AA38" s="277" t="s">
        <v>154</v>
      </c>
      <c r="AB38" s="274" t="s">
        <v>685</v>
      </c>
      <c r="AC38" s="274"/>
      <c r="AD38" s="274"/>
      <c r="AE38" s="274"/>
      <c r="AF38" s="274"/>
      <c r="AG38" s="274"/>
      <c r="AH38" s="274"/>
      <c r="AI38" s="274"/>
      <c r="AJ38" s="274"/>
      <c r="AK38" s="274"/>
      <c r="AL38" s="274"/>
      <c r="AM38" t="s">
        <v>1570</v>
      </c>
      <c r="AN38" s="120" t="s">
        <v>110</v>
      </c>
      <c r="AO38" s="120" t="s">
        <v>224</v>
      </c>
      <c r="AP38" s="502">
        <v>11612</v>
      </c>
      <c r="AU38" t="s">
        <v>150</v>
      </c>
      <c r="AV38" s="510">
        <v>14522.543352601155</v>
      </c>
      <c r="AX38" t="str">
        <f>AY38&amp;COUNTIF($AY$3:AY38,AY38)</f>
        <v>County Durham2</v>
      </c>
      <c r="AY38" s="513" t="s">
        <v>124</v>
      </c>
      <c r="AZ38" s="513" t="s">
        <v>409</v>
      </c>
      <c r="BA38" s="514">
        <v>5789.2091358024691</v>
      </c>
    </row>
    <row r="39" spans="1:53">
      <c r="A39" s="274"/>
      <c r="B39" s="274"/>
      <c r="C39" s="274"/>
      <c r="D39" s="274"/>
      <c r="E39" s="274" t="s">
        <v>157</v>
      </c>
      <c r="F39" s="274"/>
      <c r="G39" s="274"/>
      <c r="H39" s="274"/>
      <c r="I39" s="274"/>
      <c r="J39" s="274"/>
      <c r="K39" s="274"/>
      <c r="L39" s="274"/>
      <c r="M39" s="274"/>
      <c r="N39" s="274"/>
      <c r="O39" s="274" t="s">
        <v>686</v>
      </c>
      <c r="P39" s="277" t="s">
        <v>158</v>
      </c>
      <c r="Q39" s="275" t="str">
        <f t="shared" si="0"/>
        <v>E10000009</v>
      </c>
      <c r="R39" s="274"/>
      <c r="S39" s="274"/>
      <c r="T39" s="274"/>
      <c r="U39" s="274" t="s">
        <v>159</v>
      </c>
      <c r="V39" s="274" t="s">
        <v>160</v>
      </c>
      <c r="W39" s="276">
        <v>8952</v>
      </c>
      <c r="X39" s="274">
        <v>28210</v>
      </c>
      <c r="Y39" s="274"/>
      <c r="Z39" s="274" t="s">
        <v>686</v>
      </c>
      <c r="AA39" s="277" t="s">
        <v>158</v>
      </c>
      <c r="AB39" s="274" t="s">
        <v>686</v>
      </c>
      <c r="AC39" s="274"/>
      <c r="AD39" s="274"/>
      <c r="AE39" s="274"/>
      <c r="AF39" s="274"/>
      <c r="AG39" s="274"/>
      <c r="AH39" s="274"/>
      <c r="AI39" s="274"/>
      <c r="AJ39" s="274"/>
      <c r="AK39" s="274"/>
      <c r="AL39" s="274"/>
      <c r="AM39" t="s">
        <v>1571</v>
      </c>
      <c r="AN39" s="447" t="s">
        <v>114</v>
      </c>
      <c r="AO39" s="447" t="s">
        <v>605</v>
      </c>
      <c r="AP39" s="501">
        <v>15812</v>
      </c>
      <c r="AU39" t="s">
        <v>154</v>
      </c>
      <c r="AV39" s="510">
        <v>6380.9248554913293</v>
      </c>
      <c r="AX39" t="str">
        <f>AY39&amp;COUNTIF($AY$3:AY39,AY39)</f>
        <v>Coventry1</v>
      </c>
      <c r="AY39" s="512" t="s">
        <v>128</v>
      </c>
      <c r="AZ39" s="512" t="s">
        <v>159</v>
      </c>
      <c r="BA39" s="514">
        <v>7109.0330000000004</v>
      </c>
    </row>
    <row r="40" spans="1:53">
      <c r="A40" s="274"/>
      <c r="B40" s="274"/>
      <c r="C40" s="274"/>
      <c r="D40" s="274"/>
      <c r="E40" s="274" t="s">
        <v>161</v>
      </c>
      <c r="F40" s="274"/>
      <c r="G40" s="274"/>
      <c r="H40" s="274"/>
      <c r="I40" s="274"/>
      <c r="J40" s="274"/>
      <c r="K40" s="274"/>
      <c r="L40" s="274"/>
      <c r="M40" s="274"/>
      <c r="N40" s="274"/>
      <c r="O40" s="274" t="s">
        <v>687</v>
      </c>
      <c r="P40" s="277" t="s">
        <v>162</v>
      </c>
      <c r="Q40" s="275" t="str">
        <f t="shared" si="0"/>
        <v>E08000027</v>
      </c>
      <c r="R40" s="274"/>
      <c r="S40" s="274"/>
      <c r="T40" s="274"/>
      <c r="U40" s="274" t="s">
        <v>163</v>
      </c>
      <c r="V40" s="274" t="s">
        <v>164</v>
      </c>
      <c r="W40" s="276">
        <v>1980</v>
      </c>
      <c r="X40" s="274">
        <v>7244</v>
      </c>
      <c r="Y40" s="274"/>
      <c r="Z40" s="274" t="s">
        <v>687</v>
      </c>
      <c r="AA40" s="277" t="s">
        <v>162</v>
      </c>
      <c r="AB40" s="274" t="s">
        <v>687</v>
      </c>
      <c r="AC40" s="274"/>
      <c r="AD40" s="274"/>
      <c r="AE40" s="274"/>
      <c r="AF40" s="274"/>
      <c r="AG40" s="274"/>
      <c r="AH40" s="274"/>
      <c r="AI40" s="274"/>
      <c r="AJ40" s="274"/>
      <c r="AK40" s="274"/>
      <c r="AL40" s="274"/>
      <c r="AM40" t="s">
        <v>1572</v>
      </c>
      <c r="AN40" s="447" t="s">
        <v>114</v>
      </c>
      <c r="AO40" s="447" t="s">
        <v>591</v>
      </c>
      <c r="AP40" s="501">
        <v>6295</v>
      </c>
      <c r="AU40" t="s">
        <v>158</v>
      </c>
      <c r="AV40" s="510">
        <v>7909.8265895953755</v>
      </c>
      <c r="AX40" t="str">
        <f>AY40&amp;COUNTIF($AY$3:AY40,AY40)</f>
        <v>Croydon1</v>
      </c>
      <c r="AY40" s="512" t="s">
        <v>132</v>
      </c>
      <c r="AZ40" s="512" t="s">
        <v>167</v>
      </c>
      <c r="BA40" s="514">
        <v>6422.8050000000003</v>
      </c>
    </row>
    <row r="41" spans="1:53">
      <c r="A41" s="274"/>
      <c r="B41" s="274"/>
      <c r="C41" s="274"/>
      <c r="D41" s="274"/>
      <c r="E41" s="274" t="s">
        <v>165</v>
      </c>
      <c r="F41" s="274"/>
      <c r="G41" s="274"/>
      <c r="H41" s="274"/>
      <c r="I41" s="274"/>
      <c r="J41" s="274"/>
      <c r="K41" s="274"/>
      <c r="L41" s="274"/>
      <c r="M41" s="274"/>
      <c r="N41" s="274"/>
      <c r="O41" s="274" t="s">
        <v>688</v>
      </c>
      <c r="P41" s="277" t="s">
        <v>166</v>
      </c>
      <c r="Q41" s="275" t="str">
        <f t="shared" si="0"/>
        <v>E09000009</v>
      </c>
      <c r="R41" s="274"/>
      <c r="S41" s="274"/>
      <c r="T41" s="274"/>
      <c r="U41" s="274" t="s">
        <v>167</v>
      </c>
      <c r="V41" s="274" t="s">
        <v>168</v>
      </c>
      <c r="W41" s="276">
        <v>6423</v>
      </c>
      <c r="X41" s="274">
        <v>21498</v>
      </c>
      <c r="Y41" s="274"/>
      <c r="Z41" s="274" t="s">
        <v>688</v>
      </c>
      <c r="AA41" s="277" t="s">
        <v>166</v>
      </c>
      <c r="AB41" s="274" t="s">
        <v>688</v>
      </c>
      <c r="AC41" s="274"/>
      <c r="AD41" s="274"/>
      <c r="AE41" s="274"/>
      <c r="AF41" s="274"/>
      <c r="AG41" s="274"/>
      <c r="AH41" s="274"/>
      <c r="AI41" s="274"/>
      <c r="AJ41" s="274"/>
      <c r="AK41" s="274"/>
      <c r="AL41" s="274"/>
      <c r="AM41" t="s">
        <v>1573</v>
      </c>
      <c r="AN41" s="120" t="s">
        <v>117</v>
      </c>
      <c r="AO41" s="120" t="s">
        <v>147</v>
      </c>
      <c r="AP41" s="502">
        <v>732</v>
      </c>
      <c r="AU41" t="s">
        <v>162</v>
      </c>
      <c r="AV41" s="510">
        <v>5979.7687861271679</v>
      </c>
      <c r="AX41" t="str">
        <f>AY41&amp;COUNTIF($AY$3:AY41,AY41)</f>
        <v>Cumbria1</v>
      </c>
      <c r="AY41" s="512" t="s">
        <v>136</v>
      </c>
      <c r="AZ41" s="512" t="s">
        <v>170</v>
      </c>
      <c r="BA41" s="514">
        <v>11491.433000000001</v>
      </c>
    </row>
    <row r="42" spans="1:53">
      <c r="A42" s="274"/>
      <c r="B42" s="274"/>
      <c r="C42" s="274"/>
      <c r="D42" s="274"/>
      <c r="E42" s="274"/>
      <c r="F42" s="274"/>
      <c r="G42" s="274"/>
      <c r="H42" s="274"/>
      <c r="I42" s="274"/>
      <c r="J42" s="274"/>
      <c r="K42" s="274"/>
      <c r="L42" s="274"/>
      <c r="M42" s="274"/>
      <c r="N42" s="274"/>
      <c r="O42" s="274" t="s">
        <v>689</v>
      </c>
      <c r="P42" s="277" t="s">
        <v>169</v>
      </c>
      <c r="Q42" s="275" t="str">
        <f t="shared" si="0"/>
        <v>E06000011</v>
      </c>
      <c r="R42" s="274"/>
      <c r="S42" s="274"/>
      <c r="T42" s="274"/>
      <c r="U42" s="274" t="s">
        <v>170</v>
      </c>
      <c r="V42" s="274" t="s">
        <v>171</v>
      </c>
      <c r="W42" s="276">
        <v>11581</v>
      </c>
      <c r="X42" s="274">
        <v>36332</v>
      </c>
      <c r="Y42" s="274"/>
      <c r="Z42" s="274" t="s">
        <v>689</v>
      </c>
      <c r="AA42" s="277" t="s">
        <v>169</v>
      </c>
      <c r="AB42" s="274" t="s">
        <v>689</v>
      </c>
      <c r="AC42" s="274"/>
      <c r="AD42" s="274"/>
      <c r="AE42" s="274"/>
      <c r="AF42" s="274"/>
      <c r="AG42" s="274"/>
      <c r="AH42" s="274"/>
      <c r="AI42" s="274"/>
      <c r="AJ42" s="274"/>
      <c r="AK42" s="274"/>
      <c r="AL42" s="274"/>
      <c r="AM42" t="s">
        <v>1574</v>
      </c>
      <c r="AN42" s="447" t="s">
        <v>121</v>
      </c>
      <c r="AO42" s="447" t="s">
        <v>328</v>
      </c>
      <c r="AP42" s="501">
        <v>37835</v>
      </c>
      <c r="AU42" t="s">
        <v>166</v>
      </c>
      <c r="AV42" s="510">
        <v>6440.1734104046245</v>
      </c>
      <c r="AX42" t="str">
        <f>AY42&amp;COUNTIF($AY$3:AY42,AY42)</f>
        <v>Darlington1</v>
      </c>
      <c r="AY42" s="512" t="s">
        <v>139</v>
      </c>
      <c r="AZ42" s="512" t="s">
        <v>174</v>
      </c>
      <c r="BA42" s="514">
        <v>2297.038</v>
      </c>
    </row>
    <row r="43" spans="1:53">
      <c r="A43" s="274"/>
      <c r="B43" s="274"/>
      <c r="C43" s="274"/>
      <c r="D43" s="274"/>
      <c r="E43" s="278" t="s">
        <v>172</v>
      </c>
      <c r="F43" s="274"/>
      <c r="G43" s="274"/>
      <c r="H43" s="274"/>
      <c r="I43" s="274"/>
      <c r="J43" s="274"/>
      <c r="K43" s="274"/>
      <c r="L43" s="274"/>
      <c r="M43" s="274"/>
      <c r="N43" s="274"/>
      <c r="O43" s="274" t="s">
        <v>690</v>
      </c>
      <c r="P43" s="277" t="s">
        <v>173</v>
      </c>
      <c r="Q43" s="275" t="str">
        <f t="shared" si="0"/>
        <v>E10000011</v>
      </c>
      <c r="R43" s="274"/>
      <c r="S43" s="274"/>
      <c r="T43" s="274"/>
      <c r="U43" s="274" t="s">
        <v>174</v>
      </c>
      <c r="V43" s="274" t="s">
        <v>175</v>
      </c>
      <c r="W43" s="276">
        <v>2297</v>
      </c>
      <c r="X43" s="274">
        <v>7175</v>
      </c>
      <c r="Y43" s="274"/>
      <c r="Z43" s="274" t="s">
        <v>690</v>
      </c>
      <c r="AA43" s="277" t="s">
        <v>173</v>
      </c>
      <c r="AB43" s="274" t="s">
        <v>690</v>
      </c>
      <c r="AC43" s="274"/>
      <c r="AD43" s="274"/>
      <c r="AE43" s="274"/>
      <c r="AF43" s="274"/>
      <c r="AG43" s="274"/>
      <c r="AH43" s="274"/>
      <c r="AI43" s="274"/>
      <c r="AJ43" s="274"/>
      <c r="AK43" s="274"/>
      <c r="AL43" s="274"/>
      <c r="AM43" t="s">
        <v>1575</v>
      </c>
      <c r="AN43" s="120" t="s">
        <v>124</v>
      </c>
      <c r="AO43" s="120" t="s">
        <v>409</v>
      </c>
      <c r="AP43" s="502">
        <v>17226</v>
      </c>
      <c r="AU43" t="s">
        <v>169</v>
      </c>
      <c r="AV43" s="510">
        <v>5916.184971098266</v>
      </c>
      <c r="AX43" t="str">
        <f>AY43&amp;COUNTIF($AY$3:AY43,AY43)</f>
        <v>Derby1</v>
      </c>
      <c r="AY43" s="512" t="s">
        <v>143</v>
      </c>
      <c r="AZ43" s="512" t="s">
        <v>551</v>
      </c>
      <c r="BA43" s="514">
        <v>5264.2749999999996</v>
      </c>
    </row>
    <row r="44" spans="1:53">
      <c r="A44" s="274"/>
      <c r="B44" s="274"/>
      <c r="C44" s="274"/>
      <c r="D44" s="274"/>
      <c r="E44" s="274"/>
      <c r="F44" s="274"/>
      <c r="G44" s="274"/>
      <c r="H44" s="274"/>
      <c r="I44" s="274"/>
      <c r="J44" s="274"/>
      <c r="K44" s="274"/>
      <c r="L44" s="274"/>
      <c r="M44" s="274"/>
      <c r="N44" s="274"/>
      <c r="O44" s="274" t="s">
        <v>691</v>
      </c>
      <c r="P44" s="277" t="s">
        <v>176</v>
      </c>
      <c r="Q44" s="275" t="str">
        <f t="shared" si="0"/>
        <v>E09000010</v>
      </c>
      <c r="R44" s="274"/>
      <c r="S44" s="274"/>
      <c r="T44" s="274"/>
      <c r="U44" s="274" t="s">
        <v>177</v>
      </c>
      <c r="V44" s="274" t="s">
        <v>178</v>
      </c>
      <c r="W44" s="276">
        <v>4792</v>
      </c>
      <c r="X44" s="274">
        <v>14947</v>
      </c>
      <c r="Y44" s="274"/>
      <c r="Z44" s="274" t="s">
        <v>691</v>
      </c>
      <c r="AA44" s="277" t="s">
        <v>176</v>
      </c>
      <c r="AB44" s="274" t="s">
        <v>691</v>
      </c>
      <c r="AC44" s="274"/>
      <c r="AD44" s="274"/>
      <c r="AE44" s="274"/>
      <c r="AF44" s="274"/>
      <c r="AG44" s="274"/>
      <c r="AH44" s="274"/>
      <c r="AI44" s="274"/>
      <c r="AJ44" s="274"/>
      <c r="AK44" s="274"/>
      <c r="AL44" s="274"/>
      <c r="AM44" t="s">
        <v>1576</v>
      </c>
      <c r="AN44" s="120" t="s">
        <v>124</v>
      </c>
      <c r="AO44" s="120" t="s">
        <v>193</v>
      </c>
      <c r="AP44" s="502">
        <v>21967</v>
      </c>
      <c r="AU44" t="s">
        <v>173</v>
      </c>
      <c r="AV44" s="510">
        <v>10563.872832369943</v>
      </c>
      <c r="AX44" t="str">
        <f>AY44&amp;COUNTIF($AY$3:AY44,AY44)</f>
        <v>Derbyshire1</v>
      </c>
      <c r="AY44" s="513" t="s">
        <v>146</v>
      </c>
      <c r="AZ44" s="513" t="s">
        <v>577</v>
      </c>
      <c r="BA44" s="514">
        <v>711.05538085539706</v>
      </c>
    </row>
    <row r="45" spans="1:53">
      <c r="A45" s="274"/>
      <c r="B45" s="274"/>
      <c r="C45" s="274"/>
      <c r="D45" s="274"/>
      <c r="E45" s="279" t="s">
        <v>179</v>
      </c>
      <c r="F45" s="274"/>
      <c r="G45" s="274"/>
      <c r="H45" s="274"/>
      <c r="I45" s="274"/>
      <c r="J45" s="274"/>
      <c r="K45" s="274"/>
      <c r="L45" s="274"/>
      <c r="M45" s="274"/>
      <c r="N45" s="274"/>
      <c r="O45" s="274" t="s">
        <v>692</v>
      </c>
      <c r="P45" s="277" t="s">
        <v>180</v>
      </c>
      <c r="Q45" s="275" t="str">
        <f t="shared" si="0"/>
        <v>E10000012</v>
      </c>
      <c r="R45" s="274"/>
      <c r="S45" s="274"/>
      <c r="T45" s="274"/>
      <c r="U45" s="274" t="s">
        <v>181</v>
      </c>
      <c r="V45" s="274" t="s">
        <v>182</v>
      </c>
      <c r="W45" s="276">
        <v>6920</v>
      </c>
      <c r="X45" s="274">
        <v>22078</v>
      </c>
      <c r="Y45" s="274"/>
      <c r="Z45" s="274" t="s">
        <v>692</v>
      </c>
      <c r="AA45" s="277" t="s">
        <v>180</v>
      </c>
      <c r="AB45" s="274" t="s">
        <v>692</v>
      </c>
      <c r="AC45" s="274"/>
      <c r="AD45" s="274"/>
      <c r="AE45" s="274"/>
      <c r="AF45" s="274"/>
      <c r="AG45" s="274"/>
      <c r="AH45" s="274"/>
      <c r="AI45" s="274"/>
      <c r="AJ45" s="274"/>
      <c r="AK45" s="274"/>
      <c r="AL45" s="274"/>
      <c r="AM45" t="s">
        <v>1577</v>
      </c>
      <c r="AN45" s="447" t="s">
        <v>128</v>
      </c>
      <c r="AO45" s="447" t="s">
        <v>159</v>
      </c>
      <c r="AP45" s="501">
        <v>21778</v>
      </c>
      <c r="AU45" t="s">
        <v>176</v>
      </c>
      <c r="AV45" s="510">
        <v>5352.023121387283</v>
      </c>
      <c r="AX45" t="str">
        <f>AY45&amp;COUNTIF($AY$3:AY45,AY45)</f>
        <v>Derbyshire2</v>
      </c>
      <c r="AY45" s="513" t="s">
        <v>146</v>
      </c>
      <c r="AZ45" s="513" t="s">
        <v>232</v>
      </c>
      <c r="BA45" s="514">
        <v>2099.3063625254581</v>
      </c>
    </row>
    <row r="46" spans="1:53">
      <c r="A46" s="274"/>
      <c r="B46" s="274"/>
      <c r="C46" s="274"/>
      <c r="D46" s="274"/>
      <c r="E46" s="274" t="s">
        <v>183</v>
      </c>
      <c r="F46" s="274"/>
      <c r="G46" s="274"/>
      <c r="H46" s="274"/>
      <c r="I46" s="274"/>
      <c r="J46" s="274"/>
      <c r="K46" s="274"/>
      <c r="L46" s="274"/>
      <c r="M46" s="274"/>
      <c r="N46" s="274"/>
      <c r="O46" s="274" t="s">
        <v>693</v>
      </c>
      <c r="P46" s="277" t="s">
        <v>184</v>
      </c>
      <c r="Q46" s="275" t="str">
        <f t="shared" si="0"/>
        <v>E08000020</v>
      </c>
      <c r="R46" s="274"/>
      <c r="S46" s="274"/>
      <c r="T46" s="274"/>
      <c r="U46" s="274" t="s">
        <v>185</v>
      </c>
      <c r="V46" s="274" t="s">
        <v>186</v>
      </c>
      <c r="W46" s="276">
        <v>15843</v>
      </c>
      <c r="X46" s="274">
        <v>49424</v>
      </c>
      <c r="Y46" s="274"/>
      <c r="Z46" s="274" t="s">
        <v>693</v>
      </c>
      <c r="AA46" s="277" t="s">
        <v>184</v>
      </c>
      <c r="AB46" s="274" t="s">
        <v>693</v>
      </c>
      <c r="AC46" s="274"/>
      <c r="AD46" s="274"/>
      <c r="AE46" s="274"/>
      <c r="AF46" s="274"/>
      <c r="AG46" s="274"/>
      <c r="AH46" s="274"/>
      <c r="AI46" s="274"/>
      <c r="AJ46" s="274"/>
      <c r="AK46" s="274"/>
      <c r="AL46" s="274"/>
      <c r="AM46" t="s">
        <v>1578</v>
      </c>
      <c r="AN46" s="120" t="s">
        <v>132</v>
      </c>
      <c r="AO46" s="120" t="s">
        <v>167</v>
      </c>
      <c r="AP46" s="502">
        <v>21498</v>
      </c>
      <c r="AU46" t="s">
        <v>180</v>
      </c>
      <c r="AV46" s="510">
        <v>25129.190751445083</v>
      </c>
      <c r="AX46" t="str">
        <f>AY46&amp;COUNTIF($AY$3:AY46,AY46)</f>
        <v>Derbyshire3</v>
      </c>
      <c r="AY46" s="513" t="s">
        <v>146</v>
      </c>
      <c r="AZ46" s="513" t="s">
        <v>274</v>
      </c>
      <c r="BA46" s="514">
        <v>2370.1846028513232</v>
      </c>
    </row>
    <row r="47" spans="1:53">
      <c r="A47" s="274"/>
      <c r="B47" s="274"/>
      <c r="C47" s="274"/>
      <c r="D47" s="274"/>
      <c r="E47" s="274" t="s">
        <v>187</v>
      </c>
      <c r="F47" s="274"/>
      <c r="G47" s="274"/>
      <c r="H47" s="274"/>
      <c r="I47" s="274"/>
      <c r="J47" s="274"/>
      <c r="K47" s="274"/>
      <c r="L47" s="274"/>
      <c r="M47" s="274"/>
      <c r="N47" s="274"/>
      <c r="O47" s="274" t="s">
        <v>694</v>
      </c>
      <c r="P47" s="277" t="s">
        <v>188</v>
      </c>
      <c r="Q47" s="275" t="str">
        <f t="shared" si="0"/>
        <v>E10000013</v>
      </c>
      <c r="R47" s="274"/>
      <c r="S47" s="274"/>
      <c r="T47" s="274"/>
      <c r="U47" s="274" t="s">
        <v>189</v>
      </c>
      <c r="V47" s="274" t="s">
        <v>190</v>
      </c>
      <c r="W47" s="276">
        <v>7157</v>
      </c>
      <c r="X47" s="274">
        <v>20690</v>
      </c>
      <c r="Y47" s="274"/>
      <c r="Z47" s="274" t="s">
        <v>694</v>
      </c>
      <c r="AA47" s="277" t="s">
        <v>188</v>
      </c>
      <c r="AB47" s="274" t="s">
        <v>694</v>
      </c>
      <c r="AC47" s="274"/>
      <c r="AD47" s="274"/>
      <c r="AE47" s="274"/>
      <c r="AF47" s="274"/>
      <c r="AG47" s="274"/>
      <c r="AH47" s="274"/>
      <c r="AI47" s="274"/>
      <c r="AJ47" s="274"/>
      <c r="AK47" s="274"/>
      <c r="AL47" s="274"/>
      <c r="AM47" t="s">
        <v>1579</v>
      </c>
      <c r="AN47" s="447" t="s">
        <v>136</v>
      </c>
      <c r="AO47" s="447" t="s">
        <v>170</v>
      </c>
      <c r="AP47" s="501">
        <v>36013</v>
      </c>
      <c r="AU47" t="s">
        <v>184</v>
      </c>
      <c r="AV47" s="510">
        <v>4531.2138728323698</v>
      </c>
      <c r="AX47" t="str">
        <f>AY47&amp;COUNTIF($AY$3:AY47,AY47)</f>
        <v>Derbyshire4</v>
      </c>
      <c r="AY47" s="513" t="s">
        <v>146</v>
      </c>
      <c r="AZ47" s="513" t="s">
        <v>406</v>
      </c>
      <c r="BA47" s="514">
        <v>5925.4615071283088</v>
      </c>
    </row>
    <row r="48" spans="1:53">
      <c r="A48" s="274"/>
      <c r="B48" s="274"/>
      <c r="C48" s="274"/>
      <c r="D48" s="274"/>
      <c r="E48" s="274" t="s">
        <v>191</v>
      </c>
      <c r="F48" s="274"/>
      <c r="G48" s="274"/>
      <c r="H48" s="274"/>
      <c r="I48" s="274"/>
      <c r="J48" s="274"/>
      <c r="K48" s="274"/>
      <c r="L48" s="274"/>
      <c r="M48" s="274"/>
      <c r="N48" s="274"/>
      <c r="O48" s="274" t="s">
        <v>695</v>
      </c>
      <c r="P48" s="277" t="s">
        <v>192</v>
      </c>
      <c r="Q48" s="275" t="str">
        <f t="shared" si="0"/>
        <v>E09000011</v>
      </c>
      <c r="R48" s="274"/>
      <c r="S48" s="274"/>
      <c r="T48" s="274"/>
      <c r="U48" s="274" t="s">
        <v>193</v>
      </c>
      <c r="V48" s="274" t="s">
        <v>194</v>
      </c>
      <c r="W48" s="276">
        <v>7147</v>
      </c>
      <c r="X48" s="274">
        <v>21967</v>
      </c>
      <c r="Y48" s="274"/>
      <c r="Z48" s="274" t="s">
        <v>695</v>
      </c>
      <c r="AA48" s="277" t="s">
        <v>192</v>
      </c>
      <c r="AB48" s="274" t="s">
        <v>695</v>
      </c>
      <c r="AC48" s="274"/>
      <c r="AD48" s="274"/>
      <c r="AE48" s="274"/>
      <c r="AF48" s="274"/>
      <c r="AG48" s="274"/>
      <c r="AH48" s="274"/>
      <c r="AI48" s="274"/>
      <c r="AJ48" s="274"/>
      <c r="AK48" s="274"/>
      <c r="AL48" s="274"/>
      <c r="AM48" t="s">
        <v>1563</v>
      </c>
      <c r="AN48" s="447"/>
      <c r="AO48" s="447" t="s">
        <v>1295</v>
      </c>
      <c r="AP48" s="501" t="s">
        <v>1295</v>
      </c>
      <c r="AU48" t="s">
        <v>188</v>
      </c>
      <c r="AV48" s="510">
        <v>10401.445086705202</v>
      </c>
      <c r="AX48" t="str">
        <f>AY48&amp;COUNTIF($AY$3:AY48,AY48)</f>
        <v>Derbyshire5</v>
      </c>
      <c r="AY48" s="513" t="s">
        <v>146</v>
      </c>
      <c r="AZ48" s="513" t="s">
        <v>551</v>
      </c>
      <c r="BA48" s="514">
        <v>5519.1441466395108</v>
      </c>
    </row>
    <row r="49" spans="1:53">
      <c r="A49" s="274"/>
      <c r="B49" s="274"/>
      <c r="C49" s="274"/>
      <c r="D49" s="274"/>
      <c r="E49" s="274" t="s">
        <v>37</v>
      </c>
      <c r="F49" s="274"/>
      <c r="G49" s="274"/>
      <c r="H49" s="274"/>
      <c r="I49" s="274"/>
      <c r="J49" s="274"/>
      <c r="K49" s="274"/>
      <c r="L49" s="274"/>
      <c r="M49" s="274"/>
      <c r="N49" s="274"/>
      <c r="O49" s="274" t="s">
        <v>696</v>
      </c>
      <c r="P49" s="277" t="s">
        <v>195</v>
      </c>
      <c r="Q49" s="275" t="str">
        <f t="shared" si="0"/>
        <v>E09000012</v>
      </c>
      <c r="R49" s="274"/>
      <c r="S49" s="274"/>
      <c r="T49" s="274"/>
      <c r="U49" s="274" t="s">
        <v>196</v>
      </c>
      <c r="V49" s="274" t="s">
        <v>197</v>
      </c>
      <c r="W49" s="276">
        <v>6497</v>
      </c>
      <c r="X49" s="274">
        <v>22283</v>
      </c>
      <c r="Y49" s="274"/>
      <c r="Z49" s="274" t="s">
        <v>696</v>
      </c>
      <c r="AA49" s="277" t="s">
        <v>195</v>
      </c>
      <c r="AB49" s="274" t="s">
        <v>696</v>
      </c>
      <c r="AC49" s="274"/>
      <c r="AD49" s="274"/>
      <c r="AE49" s="274"/>
      <c r="AF49" s="274"/>
      <c r="AG49" s="274"/>
      <c r="AH49" s="274"/>
      <c r="AI49" s="274"/>
      <c r="AJ49" s="274"/>
      <c r="AK49" s="274"/>
      <c r="AL49" s="274"/>
      <c r="AM49" t="s">
        <v>1563</v>
      </c>
      <c r="AN49" s="447"/>
      <c r="AO49" s="447" t="s">
        <v>1295</v>
      </c>
      <c r="AP49" s="501" t="s">
        <v>1295</v>
      </c>
      <c r="AU49" t="s">
        <v>192</v>
      </c>
      <c r="AV49" s="510">
        <v>5205.2023121387283</v>
      </c>
      <c r="AX49" t="str">
        <f>AY49&amp;COUNTIF($AY$3:AY49,AY49)</f>
        <v>Devon1</v>
      </c>
      <c r="AY49" s="513" t="s">
        <v>150</v>
      </c>
      <c r="AZ49" s="513" t="s">
        <v>448</v>
      </c>
      <c r="BA49" s="514">
        <v>13088.769814004378</v>
      </c>
    </row>
    <row r="50" spans="1:53">
      <c r="A50" s="274"/>
      <c r="B50" s="274"/>
      <c r="C50" s="274"/>
      <c r="D50" s="274"/>
      <c r="E50" s="274"/>
      <c r="F50" s="274"/>
      <c r="G50" s="274"/>
      <c r="H50" s="274"/>
      <c r="I50" s="274"/>
      <c r="J50" s="274"/>
      <c r="K50" s="274"/>
      <c r="L50" s="274"/>
      <c r="M50" s="274"/>
      <c r="N50" s="274"/>
      <c r="O50" s="274" t="s">
        <v>697</v>
      </c>
      <c r="P50" s="277" t="s">
        <v>198</v>
      </c>
      <c r="Q50" s="275" t="str">
        <f t="shared" si="0"/>
        <v>E06000006</v>
      </c>
      <c r="R50" s="274"/>
      <c r="S50" s="274"/>
      <c r="T50" s="274"/>
      <c r="U50" s="274" t="s">
        <v>199</v>
      </c>
      <c r="V50" s="274" t="s">
        <v>200</v>
      </c>
      <c r="W50" s="276">
        <v>9063</v>
      </c>
      <c r="X50" s="274">
        <v>31426</v>
      </c>
      <c r="Y50" s="274"/>
      <c r="Z50" s="274" t="s">
        <v>697</v>
      </c>
      <c r="AA50" s="277" t="s">
        <v>198</v>
      </c>
      <c r="AB50" s="274" t="s">
        <v>697</v>
      </c>
      <c r="AC50" s="274"/>
      <c r="AD50" s="274"/>
      <c r="AE50" s="274"/>
      <c r="AF50" s="274"/>
      <c r="AG50" s="274"/>
      <c r="AH50" s="274"/>
      <c r="AI50" s="274"/>
      <c r="AJ50" s="274"/>
      <c r="AK50" s="274"/>
      <c r="AL50" s="274"/>
      <c r="AM50" t="s">
        <v>1563</v>
      </c>
      <c r="AN50" s="447"/>
      <c r="AO50" s="447" t="s">
        <v>1295</v>
      </c>
      <c r="AP50" s="501" t="s">
        <v>1295</v>
      </c>
      <c r="AU50" t="s">
        <v>195</v>
      </c>
      <c r="AV50" s="510">
        <v>5389.884393063584</v>
      </c>
      <c r="AX50" t="str">
        <f>AY50&amp;COUNTIF($AY$3:AY50,AY50)</f>
        <v>Devon2</v>
      </c>
      <c r="AY50" s="513" t="s">
        <v>150</v>
      </c>
      <c r="AZ50" s="513" t="s">
        <v>517</v>
      </c>
      <c r="BA50" s="514">
        <v>3299.0871859956237</v>
      </c>
    </row>
    <row r="51" spans="1:53">
      <c r="A51" s="274"/>
      <c r="B51" s="274"/>
      <c r="C51" s="274"/>
      <c r="D51" s="274"/>
      <c r="E51" s="278" t="s">
        <v>201</v>
      </c>
      <c r="F51" s="274"/>
      <c r="G51" s="274"/>
      <c r="H51" s="274"/>
      <c r="I51" s="274"/>
      <c r="J51" s="274"/>
      <c r="K51" s="274"/>
      <c r="L51" s="274"/>
      <c r="M51" s="274"/>
      <c r="N51" s="274"/>
      <c r="O51" s="274" t="s">
        <v>698</v>
      </c>
      <c r="P51" s="277" t="s">
        <v>202</v>
      </c>
      <c r="Q51" s="275" t="str">
        <f t="shared" si="0"/>
        <v>E09000013</v>
      </c>
      <c r="R51" s="274"/>
      <c r="S51" s="274"/>
      <c r="T51" s="274"/>
      <c r="U51" s="274" t="s">
        <v>203</v>
      </c>
      <c r="V51" s="274" t="s">
        <v>204</v>
      </c>
      <c r="W51" s="276">
        <v>8163</v>
      </c>
      <c r="X51" s="274">
        <v>26095</v>
      </c>
      <c r="Y51" s="274"/>
      <c r="Z51" s="274" t="s">
        <v>698</v>
      </c>
      <c r="AA51" s="277" t="s">
        <v>202</v>
      </c>
      <c r="AB51" s="274" t="s">
        <v>698</v>
      </c>
      <c r="AC51" s="274"/>
      <c r="AD51" s="274"/>
      <c r="AE51" s="274"/>
      <c r="AF51" s="274"/>
      <c r="AG51" s="274"/>
      <c r="AH51" s="274"/>
      <c r="AI51" s="274"/>
      <c r="AJ51" s="274"/>
      <c r="AK51" s="274"/>
      <c r="AL51" s="274"/>
      <c r="AM51" t="s">
        <v>1563</v>
      </c>
      <c r="AN51" s="447"/>
      <c r="AO51" s="447" t="s">
        <v>1295</v>
      </c>
      <c r="AP51" s="501" t="s">
        <v>1295</v>
      </c>
      <c r="AU51" t="s">
        <v>198</v>
      </c>
      <c r="AV51" s="510">
        <v>2731.5028901734104</v>
      </c>
      <c r="AX51" t="str">
        <f>AY51&amp;COUNTIF($AY$3:AY51,AY51)</f>
        <v>Doncaster1</v>
      </c>
      <c r="AY51" s="512" t="s">
        <v>154</v>
      </c>
      <c r="AZ51" s="512" t="s">
        <v>181</v>
      </c>
      <c r="BA51" s="514">
        <v>6920.2820000000002</v>
      </c>
    </row>
    <row r="52" spans="1:53">
      <c r="A52" s="274"/>
      <c r="B52" s="274"/>
      <c r="C52" s="274"/>
      <c r="D52" s="274"/>
      <c r="E52" s="274"/>
      <c r="F52" s="274"/>
      <c r="G52" s="274"/>
      <c r="H52" s="274"/>
      <c r="I52" s="274"/>
      <c r="J52" s="274"/>
      <c r="K52" s="274"/>
      <c r="L52" s="274"/>
      <c r="M52" s="274"/>
      <c r="N52" s="274"/>
      <c r="O52" s="274" t="s">
        <v>699</v>
      </c>
      <c r="P52" s="277" t="s">
        <v>205</v>
      </c>
      <c r="Q52" s="275" t="str">
        <f t="shared" si="0"/>
        <v>E10000014</v>
      </c>
      <c r="R52" s="274"/>
      <c r="S52" s="274"/>
      <c r="T52" s="274"/>
      <c r="U52" s="274" t="s">
        <v>206</v>
      </c>
      <c r="V52" s="274" t="s">
        <v>207</v>
      </c>
      <c r="W52" s="276">
        <v>5344</v>
      </c>
      <c r="X52" s="274">
        <v>17232</v>
      </c>
      <c r="Y52" s="274"/>
      <c r="Z52" s="274" t="s">
        <v>699</v>
      </c>
      <c r="AA52" s="277" t="s">
        <v>205</v>
      </c>
      <c r="AB52" s="274" t="s">
        <v>699</v>
      </c>
      <c r="AC52" s="274"/>
      <c r="AD52" s="274"/>
      <c r="AE52" s="274"/>
      <c r="AF52" s="274"/>
      <c r="AG52" s="274"/>
      <c r="AH52" s="274"/>
      <c r="AI52" s="274"/>
      <c r="AJ52" s="274"/>
      <c r="AK52" s="274"/>
      <c r="AL52" s="274"/>
      <c r="AM52" t="s">
        <v>1563</v>
      </c>
      <c r="AN52" s="447"/>
      <c r="AO52" s="447" t="s">
        <v>1295</v>
      </c>
      <c r="AP52" s="501" t="s">
        <v>1295</v>
      </c>
      <c r="AU52" t="s">
        <v>202</v>
      </c>
      <c r="AV52" s="510">
        <v>3800</v>
      </c>
      <c r="AX52" t="str">
        <f>AY52&amp;COUNTIF($AY$3:AY52,AY52)</f>
        <v>Dorset1</v>
      </c>
      <c r="AY52" s="512" t="s">
        <v>158</v>
      </c>
      <c r="AZ52" s="512" t="s">
        <v>185</v>
      </c>
      <c r="BA52" s="514">
        <v>8869.6110000000008</v>
      </c>
    </row>
    <row r="53" spans="1:53">
      <c r="A53" s="274"/>
      <c r="B53" s="274"/>
      <c r="C53" s="274"/>
      <c r="D53" s="274"/>
      <c r="E53" s="278" t="s">
        <v>208</v>
      </c>
      <c r="F53" s="274"/>
      <c r="G53" s="274"/>
      <c r="H53" s="274"/>
      <c r="I53" s="274"/>
      <c r="J53" s="274"/>
      <c r="K53" s="274"/>
      <c r="L53" s="274"/>
      <c r="M53" s="274"/>
      <c r="N53" s="274"/>
      <c r="O53" s="274" t="s">
        <v>700</v>
      </c>
      <c r="P53" s="277" t="s">
        <v>209</v>
      </c>
      <c r="Q53" s="275" t="str">
        <f t="shared" si="0"/>
        <v>E09000014</v>
      </c>
      <c r="R53" s="274"/>
      <c r="S53" s="274"/>
      <c r="T53" s="274"/>
      <c r="U53" s="274" t="s">
        <v>210</v>
      </c>
      <c r="V53" s="274" t="s">
        <v>211</v>
      </c>
      <c r="W53" s="276">
        <v>6217</v>
      </c>
      <c r="X53" s="274">
        <v>19212</v>
      </c>
      <c r="Y53" s="274"/>
      <c r="Z53" s="274" t="s">
        <v>700</v>
      </c>
      <c r="AA53" s="277" t="s">
        <v>209</v>
      </c>
      <c r="AB53" s="274" t="s">
        <v>700</v>
      </c>
      <c r="AC53" s="274"/>
      <c r="AD53" s="274"/>
      <c r="AE53" s="274"/>
      <c r="AF53" s="274"/>
      <c r="AG53" s="274"/>
      <c r="AH53" s="274"/>
      <c r="AI53" s="274"/>
      <c r="AJ53" s="274"/>
      <c r="AK53" s="274"/>
      <c r="AL53" s="274"/>
      <c r="AM53" t="s">
        <v>1580</v>
      </c>
      <c r="AN53" s="120" t="s">
        <v>139</v>
      </c>
      <c r="AO53" s="120" t="s">
        <v>174</v>
      </c>
      <c r="AP53" s="502">
        <v>7175</v>
      </c>
      <c r="AU53" t="s">
        <v>205</v>
      </c>
      <c r="AV53" s="510">
        <v>21047.109826589593</v>
      </c>
      <c r="AX53" t="str">
        <f>AY53&amp;COUNTIF($AY$3:AY53,AY53)</f>
        <v>Dudley1</v>
      </c>
      <c r="AY53" s="512" t="s">
        <v>162</v>
      </c>
      <c r="AZ53" s="512" t="s">
        <v>189</v>
      </c>
      <c r="BA53" s="514">
        <v>7157.4269999999997</v>
      </c>
    </row>
    <row r="54" spans="1:53">
      <c r="A54" s="274"/>
      <c r="B54" s="274"/>
      <c r="C54" s="274"/>
      <c r="D54" s="274"/>
      <c r="E54" s="274"/>
      <c r="F54" s="274"/>
      <c r="G54" s="274"/>
      <c r="H54" s="274"/>
      <c r="I54" s="274"/>
      <c r="J54" s="274"/>
      <c r="K54" s="274"/>
      <c r="L54" s="274"/>
      <c r="M54" s="274"/>
      <c r="N54" s="274"/>
      <c r="O54" s="274" t="s">
        <v>701</v>
      </c>
      <c r="P54" s="277" t="s">
        <v>212</v>
      </c>
      <c r="Q54" s="275" t="str">
        <f t="shared" si="0"/>
        <v>E09000015</v>
      </c>
      <c r="R54" s="274"/>
      <c r="S54" s="274"/>
      <c r="T54" s="274"/>
      <c r="U54" s="274" t="s">
        <v>213</v>
      </c>
      <c r="V54" s="274" t="s">
        <v>214</v>
      </c>
      <c r="W54" s="276">
        <v>2367</v>
      </c>
      <c r="X54" s="274">
        <v>7480</v>
      </c>
      <c r="Y54" s="274"/>
      <c r="Z54" s="274" t="s">
        <v>701</v>
      </c>
      <c r="AA54" s="277" t="s">
        <v>212</v>
      </c>
      <c r="AB54" s="274" t="s">
        <v>701</v>
      </c>
      <c r="AC54" s="274"/>
      <c r="AD54" s="274"/>
      <c r="AE54" s="274"/>
      <c r="AF54" s="274"/>
      <c r="AG54" s="274"/>
      <c r="AH54" s="274"/>
      <c r="AI54" s="274"/>
      <c r="AJ54" s="274"/>
      <c r="AK54" s="274"/>
      <c r="AL54" s="274"/>
      <c r="AM54" t="s">
        <v>1581</v>
      </c>
      <c r="AN54" s="447" t="s">
        <v>143</v>
      </c>
      <c r="AO54" s="447" t="s">
        <v>551</v>
      </c>
      <c r="AP54" s="501">
        <v>15866</v>
      </c>
      <c r="AU54" t="s">
        <v>209</v>
      </c>
      <c r="AV54" s="510">
        <v>4760.9826589595377</v>
      </c>
      <c r="AX54" t="str">
        <f>AY54&amp;COUNTIF($AY$3:AY54,AY54)</f>
        <v>Ealing1</v>
      </c>
      <c r="AY54" s="512" t="s">
        <v>166</v>
      </c>
      <c r="AZ54" s="512" t="s">
        <v>196</v>
      </c>
      <c r="BA54" s="514">
        <v>6497.1890000000003</v>
      </c>
    </row>
    <row r="55" spans="1:53">
      <c r="A55" s="274"/>
      <c r="B55" s="274"/>
      <c r="C55" s="274"/>
      <c r="D55" s="274"/>
      <c r="E55" s="279" t="s">
        <v>42</v>
      </c>
      <c r="F55" s="274"/>
      <c r="G55" s="274"/>
      <c r="H55" s="274"/>
      <c r="I55" s="274"/>
      <c r="J55" s="274"/>
      <c r="K55" s="274"/>
      <c r="L55" s="274"/>
      <c r="M55" s="274"/>
      <c r="N55" s="274"/>
      <c r="O55" s="274" t="s">
        <v>702</v>
      </c>
      <c r="P55" s="277" t="s">
        <v>215</v>
      </c>
      <c r="Q55" s="275" t="str">
        <f t="shared" si="0"/>
        <v>E06000001</v>
      </c>
      <c r="R55" s="274"/>
      <c r="S55" s="274"/>
      <c r="T55" s="274"/>
      <c r="U55" s="274" t="s">
        <v>216</v>
      </c>
      <c r="V55" s="274" t="s">
        <v>217</v>
      </c>
      <c r="W55" s="276">
        <v>2711</v>
      </c>
      <c r="X55" s="274">
        <v>9397</v>
      </c>
      <c r="Y55" s="274"/>
      <c r="Z55" s="274" t="s">
        <v>702</v>
      </c>
      <c r="AA55" s="277" t="s">
        <v>215</v>
      </c>
      <c r="AB55" s="274" t="s">
        <v>702</v>
      </c>
      <c r="AC55" s="274"/>
      <c r="AD55" s="274"/>
      <c r="AE55" s="274"/>
      <c r="AF55" s="274"/>
      <c r="AG55" s="274"/>
      <c r="AH55" s="274"/>
      <c r="AI55" s="274"/>
      <c r="AJ55" s="274"/>
      <c r="AK55" s="274"/>
      <c r="AL55" s="274"/>
      <c r="AM55" t="s">
        <v>1582</v>
      </c>
      <c r="AN55" s="120" t="s">
        <v>146</v>
      </c>
      <c r="AO55" s="120" t="s">
        <v>577</v>
      </c>
      <c r="AP55" s="502">
        <v>2178</v>
      </c>
      <c r="AU55" t="s">
        <v>212</v>
      </c>
      <c r="AV55" s="510">
        <v>3810.115606936416</v>
      </c>
      <c r="AX55" t="str">
        <f>AY55&amp;COUNTIF($AY$3:AY55,AY55)</f>
        <v>East Riding of Yorkshire1</v>
      </c>
      <c r="AY55" s="513" t="s">
        <v>169</v>
      </c>
      <c r="AZ55" s="513" t="s">
        <v>210</v>
      </c>
      <c r="BA55" s="514">
        <v>6217.0901666666659</v>
      </c>
    </row>
    <row r="56" spans="1:53">
      <c r="A56" s="274"/>
      <c r="B56" s="274"/>
      <c r="C56" s="274"/>
      <c r="D56" s="274"/>
      <c r="E56" s="274" t="s">
        <v>218</v>
      </c>
      <c r="F56" s="274"/>
      <c r="G56" s="274"/>
      <c r="H56" s="274"/>
      <c r="I56" s="274"/>
      <c r="J56" s="274"/>
      <c r="K56" s="274"/>
      <c r="L56" s="274"/>
      <c r="M56" s="274"/>
      <c r="N56" s="274"/>
      <c r="O56" s="274" t="s">
        <v>703</v>
      </c>
      <c r="P56" s="277" t="s">
        <v>219</v>
      </c>
      <c r="Q56" s="275" t="str">
        <f t="shared" si="0"/>
        <v>E09000016</v>
      </c>
      <c r="R56" s="274"/>
      <c r="S56" s="274"/>
      <c r="T56" s="274"/>
      <c r="U56" s="274" t="s">
        <v>220</v>
      </c>
      <c r="V56" s="274" t="s">
        <v>221</v>
      </c>
      <c r="W56" s="276">
        <v>4106</v>
      </c>
      <c r="X56" s="274">
        <v>12749</v>
      </c>
      <c r="Y56" s="274"/>
      <c r="Z56" s="274" t="s">
        <v>703</v>
      </c>
      <c r="AA56" s="277" t="s">
        <v>219</v>
      </c>
      <c r="AB56" s="274" t="s">
        <v>703</v>
      </c>
      <c r="AC56" s="274"/>
      <c r="AD56" s="274"/>
      <c r="AE56" s="274"/>
      <c r="AF56" s="274"/>
      <c r="AG56" s="274"/>
      <c r="AH56" s="274"/>
      <c r="AI56" s="274"/>
      <c r="AJ56" s="274"/>
      <c r="AK56" s="274"/>
      <c r="AL56" s="274"/>
      <c r="AM56" t="s">
        <v>1583</v>
      </c>
      <c r="AN56" s="120" t="s">
        <v>146</v>
      </c>
      <c r="AO56" s="120" t="s">
        <v>551</v>
      </c>
      <c r="AP56" s="502">
        <v>16963</v>
      </c>
      <c r="AU56" t="s">
        <v>215</v>
      </c>
      <c r="AV56" s="510">
        <v>1922.2543352601156</v>
      </c>
      <c r="AX56" t="str">
        <f>AY56&amp;COUNTIF($AY$3:AY56,AY56)</f>
        <v>East Riding of Yorkshire2</v>
      </c>
      <c r="AY56" s="513" t="s">
        <v>169</v>
      </c>
      <c r="AZ56" s="513" t="s">
        <v>589</v>
      </c>
      <c r="BA56" s="514">
        <v>410.26483333333334</v>
      </c>
    </row>
    <row r="57" spans="1:53">
      <c r="A57" s="274"/>
      <c r="B57" s="274"/>
      <c r="C57" s="274"/>
      <c r="D57" s="274"/>
      <c r="E57" s="274" t="s">
        <v>222</v>
      </c>
      <c r="F57" s="274"/>
      <c r="G57" s="274"/>
      <c r="H57" s="274"/>
      <c r="I57" s="274"/>
      <c r="J57" s="274"/>
      <c r="K57" s="274"/>
      <c r="L57" s="274"/>
      <c r="M57" s="274"/>
      <c r="N57" s="274"/>
      <c r="O57" s="274" t="s">
        <v>704</v>
      </c>
      <c r="P57" s="277" t="s">
        <v>223</v>
      </c>
      <c r="Q57" s="275" t="str">
        <f t="shared" si="0"/>
        <v>E06000019</v>
      </c>
      <c r="R57" s="274"/>
      <c r="S57" s="274"/>
      <c r="T57" s="274"/>
      <c r="U57" s="274" t="s">
        <v>224</v>
      </c>
      <c r="V57" s="274" t="s">
        <v>225</v>
      </c>
      <c r="W57" s="276">
        <v>3466</v>
      </c>
      <c r="X57" s="274">
        <v>11612</v>
      </c>
      <c r="Y57" s="274"/>
      <c r="Z57" s="274" t="s">
        <v>704</v>
      </c>
      <c r="AA57" s="277" t="s">
        <v>223</v>
      </c>
      <c r="AB57" s="274" t="s">
        <v>704</v>
      </c>
      <c r="AC57" s="274"/>
      <c r="AD57" s="274"/>
      <c r="AE57" s="274"/>
      <c r="AF57" s="274"/>
      <c r="AG57" s="274"/>
      <c r="AH57" s="274"/>
      <c r="AI57" s="274"/>
      <c r="AJ57" s="274"/>
      <c r="AK57" s="274"/>
      <c r="AL57" s="274"/>
      <c r="AM57" t="s">
        <v>1584</v>
      </c>
      <c r="AN57" s="120" t="s">
        <v>146</v>
      </c>
      <c r="AO57" s="120" t="s">
        <v>406</v>
      </c>
      <c r="AP57" s="502">
        <v>19439</v>
      </c>
      <c r="AU57" t="s">
        <v>219</v>
      </c>
      <c r="AV57" s="510">
        <v>4478.3236994219651</v>
      </c>
      <c r="AX57" t="str">
        <f>AY57&amp;COUNTIF($AY$3:AY57,AY57)</f>
        <v>East Sussex1</v>
      </c>
      <c r="AY57" s="513" t="s">
        <v>173</v>
      </c>
      <c r="AZ57" s="513" t="s">
        <v>220</v>
      </c>
      <c r="BA57" s="514">
        <v>4106.3905349544066</v>
      </c>
    </row>
    <row r="58" spans="1:53">
      <c r="A58" s="274"/>
      <c r="B58" s="274"/>
      <c r="C58" s="274"/>
      <c r="D58" s="274"/>
      <c r="E58" s="274" t="s">
        <v>226</v>
      </c>
      <c r="F58" s="274"/>
      <c r="G58" s="274"/>
      <c r="H58" s="274"/>
      <c r="I58" s="274"/>
      <c r="J58" s="274"/>
      <c r="K58" s="274"/>
      <c r="L58" s="274"/>
      <c r="M58" s="274"/>
      <c r="N58" s="274"/>
      <c r="O58" s="274" t="s">
        <v>705</v>
      </c>
      <c r="P58" s="277" t="s">
        <v>227</v>
      </c>
      <c r="Q58" s="275" t="str">
        <f t="shared" si="0"/>
        <v>E10000015</v>
      </c>
      <c r="R58" s="274"/>
      <c r="S58" s="274"/>
      <c r="T58" s="274"/>
      <c r="U58" s="274" t="s">
        <v>228</v>
      </c>
      <c r="V58" s="274" t="s">
        <v>229</v>
      </c>
      <c r="W58" s="276">
        <v>5952</v>
      </c>
      <c r="X58" s="274">
        <v>18518</v>
      </c>
      <c r="Y58" s="274"/>
      <c r="Z58" s="274" t="s">
        <v>705</v>
      </c>
      <c r="AA58" s="277" t="s">
        <v>227</v>
      </c>
      <c r="AB58" s="274" t="s">
        <v>705</v>
      </c>
      <c r="AC58" s="274"/>
      <c r="AD58" s="274"/>
      <c r="AE58" s="274"/>
      <c r="AF58" s="274"/>
      <c r="AG58" s="274"/>
      <c r="AH58" s="274"/>
      <c r="AI58" s="274"/>
      <c r="AJ58" s="274"/>
      <c r="AK58" s="274"/>
      <c r="AL58" s="274"/>
      <c r="AM58" t="s">
        <v>1585</v>
      </c>
      <c r="AN58" s="120" t="s">
        <v>146</v>
      </c>
      <c r="AO58" s="120" t="s">
        <v>274</v>
      </c>
      <c r="AP58" s="502">
        <v>7263</v>
      </c>
      <c r="AU58" t="s">
        <v>223</v>
      </c>
      <c r="AV58" s="510">
        <v>3379.7687861271675</v>
      </c>
      <c r="AX58" t="str">
        <f>AY58&amp;COUNTIF($AY$3:AY58,AY58)</f>
        <v>East Sussex2</v>
      </c>
      <c r="AY58" s="513" t="s">
        <v>173</v>
      </c>
      <c r="AZ58" s="513" t="s">
        <v>1245</v>
      </c>
      <c r="BA58" s="514">
        <v>3998.3276261398178</v>
      </c>
    </row>
    <row r="59" spans="1:53">
      <c r="A59" s="274"/>
      <c r="B59" s="274"/>
      <c r="C59" s="274"/>
      <c r="D59" s="274"/>
      <c r="E59" s="274" t="s">
        <v>230</v>
      </c>
      <c r="F59" s="274"/>
      <c r="G59" s="274"/>
      <c r="H59" s="274"/>
      <c r="I59" s="274"/>
      <c r="J59" s="274"/>
      <c r="K59" s="274"/>
      <c r="L59" s="274"/>
      <c r="M59" s="274"/>
      <c r="N59" s="274"/>
      <c r="O59" s="274" t="s">
        <v>706</v>
      </c>
      <c r="P59" s="277" t="s">
        <v>231</v>
      </c>
      <c r="Q59" s="275" t="str">
        <f t="shared" si="0"/>
        <v>E09000017</v>
      </c>
      <c r="R59" s="274"/>
      <c r="S59" s="274"/>
      <c r="T59" s="274"/>
      <c r="U59" s="274" t="s">
        <v>232</v>
      </c>
      <c r="V59" s="274" t="s">
        <v>233</v>
      </c>
      <c r="W59" s="276">
        <v>2099</v>
      </c>
      <c r="X59" s="274">
        <v>6300</v>
      </c>
      <c r="Y59" s="274"/>
      <c r="Z59" s="274" t="s">
        <v>706</v>
      </c>
      <c r="AA59" s="277" t="s">
        <v>231</v>
      </c>
      <c r="AB59" s="274" t="s">
        <v>706</v>
      </c>
      <c r="AC59" s="274"/>
      <c r="AD59" s="274"/>
      <c r="AE59" s="274"/>
      <c r="AF59" s="274"/>
      <c r="AG59" s="274"/>
      <c r="AH59" s="274"/>
      <c r="AI59" s="274"/>
      <c r="AJ59" s="274"/>
      <c r="AK59" s="274"/>
      <c r="AL59" s="274"/>
      <c r="AM59" t="s">
        <v>1586</v>
      </c>
      <c r="AN59" s="120" t="s">
        <v>146</v>
      </c>
      <c r="AO59" s="120" t="s">
        <v>232</v>
      </c>
      <c r="AP59" s="502">
        <v>6300</v>
      </c>
      <c r="AU59" t="s">
        <v>227</v>
      </c>
      <c r="AV59" s="510">
        <v>18956.647398843932</v>
      </c>
      <c r="AX59" t="str">
        <f>AY59&amp;COUNTIF($AY$3:AY59,AY59)</f>
        <v>East Sussex3</v>
      </c>
      <c r="AY59" s="513" t="s">
        <v>173</v>
      </c>
      <c r="AZ59" s="513" t="s">
        <v>304</v>
      </c>
      <c r="BA59" s="514">
        <v>3746.1808389057746</v>
      </c>
    </row>
    <row r="60" spans="1:53">
      <c r="A60" s="274"/>
      <c r="B60" s="274"/>
      <c r="C60" s="274"/>
      <c r="D60" s="274"/>
      <c r="E60" s="274"/>
      <c r="F60" s="274"/>
      <c r="G60" s="274"/>
      <c r="H60" s="274"/>
      <c r="I60" s="274"/>
      <c r="J60" s="274"/>
      <c r="K60" s="274"/>
      <c r="L60" s="274"/>
      <c r="M60" s="274"/>
      <c r="N60" s="274"/>
      <c r="O60" s="274" t="s">
        <v>707</v>
      </c>
      <c r="P60" s="277" t="s">
        <v>234</v>
      </c>
      <c r="Q60" s="275" t="str">
        <f t="shared" si="0"/>
        <v>E09000018</v>
      </c>
      <c r="R60" s="274"/>
      <c r="S60" s="274"/>
      <c r="T60" s="274"/>
      <c r="U60" s="274" t="s">
        <v>235</v>
      </c>
      <c r="V60" s="274" t="s">
        <v>236</v>
      </c>
      <c r="W60" s="276">
        <v>3300</v>
      </c>
      <c r="X60" s="274">
        <v>10876</v>
      </c>
      <c r="Y60" s="274"/>
      <c r="Z60" s="274" t="s">
        <v>707</v>
      </c>
      <c r="AA60" s="277" t="s">
        <v>234</v>
      </c>
      <c r="AB60" s="274" t="s">
        <v>707</v>
      </c>
      <c r="AC60" s="274"/>
      <c r="AD60" s="274"/>
      <c r="AE60" s="274"/>
      <c r="AF60" s="274"/>
      <c r="AG60" s="274"/>
      <c r="AH60" s="274"/>
      <c r="AI60" s="274"/>
      <c r="AJ60" s="274"/>
      <c r="AK60" s="274"/>
      <c r="AL60" s="274"/>
      <c r="AM60" t="s">
        <v>1563</v>
      </c>
      <c r="AN60" s="120"/>
      <c r="AO60" s="120" t="s">
        <v>1295</v>
      </c>
      <c r="AP60" s="502" t="s">
        <v>1295</v>
      </c>
      <c r="AU60" t="s">
        <v>231</v>
      </c>
      <c r="AV60" s="510">
        <v>4520.8092485549132</v>
      </c>
      <c r="AX60" t="str">
        <f>AY60&amp;COUNTIF($AY$3:AY60,AY60)</f>
        <v>Enfield1</v>
      </c>
      <c r="AY60" s="512" t="s">
        <v>176</v>
      </c>
      <c r="AZ60" s="512" t="s">
        <v>1204</v>
      </c>
      <c r="BA60" s="514">
        <v>5952.0789999999997</v>
      </c>
    </row>
    <row r="61" spans="1:53">
      <c r="A61" s="274"/>
      <c r="B61" s="274"/>
      <c r="C61" s="274"/>
      <c r="D61" s="274"/>
      <c r="E61" s="278" t="s">
        <v>237</v>
      </c>
      <c r="F61" s="274"/>
      <c r="G61" s="274"/>
      <c r="H61" s="274"/>
      <c r="I61" s="274"/>
      <c r="J61" s="274"/>
      <c r="K61" s="274"/>
      <c r="L61" s="274"/>
      <c r="M61" s="274"/>
      <c r="N61" s="274"/>
      <c r="O61" s="274" t="s">
        <v>708</v>
      </c>
      <c r="P61" s="277" t="s">
        <v>238</v>
      </c>
      <c r="Q61" s="275" t="str">
        <f t="shared" si="0"/>
        <v>E06000046</v>
      </c>
      <c r="R61" s="274"/>
      <c r="S61" s="274"/>
      <c r="T61" s="274"/>
      <c r="U61" s="274" t="s">
        <v>239</v>
      </c>
      <c r="V61" s="274" t="s">
        <v>240</v>
      </c>
      <c r="W61" s="276">
        <v>3680</v>
      </c>
      <c r="X61" s="274">
        <v>10961</v>
      </c>
      <c r="Y61" s="274"/>
      <c r="Z61" s="274" t="s">
        <v>708</v>
      </c>
      <c r="AA61" s="277" t="s">
        <v>238</v>
      </c>
      <c r="AB61" s="274" t="s">
        <v>708</v>
      </c>
      <c r="AC61" s="274"/>
      <c r="AD61" s="274"/>
      <c r="AE61" s="274"/>
      <c r="AF61" s="274"/>
      <c r="AG61" s="274"/>
      <c r="AH61" s="274"/>
      <c r="AI61" s="274"/>
      <c r="AJ61" s="274"/>
      <c r="AK61" s="274"/>
      <c r="AL61" s="274"/>
      <c r="AM61" t="s">
        <v>1563</v>
      </c>
      <c r="AN61" s="120"/>
      <c r="AO61" s="120" t="s">
        <v>1295</v>
      </c>
      <c r="AP61" s="502" t="s">
        <v>1295</v>
      </c>
      <c r="AU61" t="s">
        <v>234</v>
      </c>
      <c r="AV61" s="510">
        <v>4418.4971098265896</v>
      </c>
      <c r="AX61" t="str">
        <f>AY61&amp;COUNTIF($AY$3:AY61,AY61)</f>
        <v>Essex1</v>
      </c>
      <c r="AY61" s="513" t="s">
        <v>180</v>
      </c>
      <c r="AZ61" s="513" t="s">
        <v>379</v>
      </c>
      <c r="BA61" s="514">
        <v>7280.5705389908253</v>
      </c>
    </row>
    <row r="62" spans="1:53">
      <c r="A62" s="274"/>
      <c r="B62" s="274"/>
      <c r="C62" s="274"/>
      <c r="D62" s="274"/>
      <c r="E62" s="274"/>
      <c r="F62" s="274"/>
      <c r="G62" s="274"/>
      <c r="H62" s="274"/>
      <c r="I62" s="274"/>
      <c r="J62" s="274"/>
      <c r="K62" s="274"/>
      <c r="L62" s="274"/>
      <c r="M62" s="274"/>
      <c r="N62" s="274"/>
      <c r="O62" s="274" t="s">
        <v>709</v>
      </c>
      <c r="P62" s="277" t="s">
        <v>241</v>
      </c>
      <c r="Q62" s="275" t="str">
        <f t="shared" si="0"/>
        <v>E06000053</v>
      </c>
      <c r="R62" s="274"/>
      <c r="S62" s="274"/>
      <c r="T62" s="274"/>
      <c r="U62" s="274" t="s">
        <v>242</v>
      </c>
      <c r="V62" s="274" t="s">
        <v>243</v>
      </c>
      <c r="W62" s="276">
        <v>5194</v>
      </c>
      <c r="X62" s="274">
        <v>15678</v>
      </c>
      <c r="Y62" s="274"/>
      <c r="Z62" s="274" t="s">
        <v>709</v>
      </c>
      <c r="AA62" s="277" t="s">
        <v>241</v>
      </c>
      <c r="AB62" s="274" t="s">
        <v>709</v>
      </c>
      <c r="AC62" s="274"/>
      <c r="AD62" s="274"/>
      <c r="AE62" s="274"/>
      <c r="AF62" s="274"/>
      <c r="AG62" s="274"/>
      <c r="AH62" s="274"/>
      <c r="AI62" s="274"/>
      <c r="AJ62" s="274"/>
      <c r="AK62" s="274"/>
      <c r="AL62" s="274"/>
      <c r="AM62" t="s">
        <v>1563</v>
      </c>
      <c r="AN62" s="120"/>
      <c r="AO62" s="120" t="s">
        <v>1295</v>
      </c>
      <c r="AP62" s="502" t="s">
        <v>1295</v>
      </c>
      <c r="AU62" t="s">
        <v>238</v>
      </c>
      <c r="AV62" s="510">
        <v>3122.2543352601156</v>
      </c>
      <c r="AX62" t="str">
        <f>AY62&amp;COUNTIF($AY$3:AY62,AY62)</f>
        <v>Essex2</v>
      </c>
      <c r="AY62" s="513" t="s">
        <v>180</v>
      </c>
      <c r="AZ62" s="513" t="s">
        <v>412</v>
      </c>
      <c r="BA62" s="514">
        <v>6036.0285665137617</v>
      </c>
    </row>
    <row r="63" spans="1:53">
      <c r="A63" s="274"/>
      <c r="B63" s="274"/>
      <c r="C63" s="274"/>
      <c r="D63" s="274"/>
      <c r="E63" s="278" t="s">
        <v>244</v>
      </c>
      <c r="F63" s="274"/>
      <c r="G63" s="274"/>
      <c r="H63" s="274"/>
      <c r="I63" s="274"/>
      <c r="J63" s="274"/>
      <c r="K63" s="274"/>
      <c r="L63" s="274"/>
      <c r="M63" s="274"/>
      <c r="N63" s="274"/>
      <c r="O63" s="274" t="s">
        <v>710</v>
      </c>
      <c r="P63" s="277" t="s">
        <v>245</v>
      </c>
      <c r="Q63" s="275" t="str">
        <f t="shared" si="0"/>
        <v>E09000019</v>
      </c>
      <c r="R63" s="274"/>
      <c r="S63" s="274"/>
      <c r="T63" s="274"/>
      <c r="U63" s="274" t="s">
        <v>246</v>
      </c>
      <c r="V63" s="274" t="s">
        <v>247</v>
      </c>
      <c r="W63" s="276">
        <v>11596</v>
      </c>
      <c r="X63" s="274">
        <v>35989</v>
      </c>
      <c r="Y63" s="274"/>
      <c r="Z63" s="274" t="s">
        <v>710</v>
      </c>
      <c r="AA63" s="277" t="s">
        <v>245</v>
      </c>
      <c r="AB63" s="274" t="s">
        <v>710</v>
      </c>
      <c r="AC63" s="274"/>
      <c r="AD63" s="274"/>
      <c r="AE63" s="274"/>
      <c r="AF63" s="274"/>
      <c r="AG63" s="274"/>
      <c r="AH63" s="274"/>
      <c r="AI63" s="274"/>
      <c r="AJ63" s="274"/>
      <c r="AK63" s="274"/>
      <c r="AL63" s="274"/>
      <c r="AM63" t="s">
        <v>1587</v>
      </c>
      <c r="AN63" s="447" t="s">
        <v>150</v>
      </c>
      <c r="AO63" s="447" t="s">
        <v>517</v>
      </c>
      <c r="AP63" s="501">
        <v>10262</v>
      </c>
      <c r="AU63" t="s">
        <v>241</v>
      </c>
      <c r="AV63" s="510">
        <v>39.017341040462426</v>
      </c>
      <c r="AX63" t="str">
        <f>AY63&amp;COUNTIF($AY$3:AY63,AY63)</f>
        <v>Essex3</v>
      </c>
      <c r="AY63" s="513" t="s">
        <v>180</v>
      </c>
      <c r="AZ63" s="513" t="s">
        <v>607</v>
      </c>
      <c r="BA63" s="514">
        <v>5538.2117775229353</v>
      </c>
    </row>
    <row r="64" spans="1:53">
      <c r="A64" s="274"/>
      <c r="B64" s="274"/>
      <c r="C64" s="274"/>
      <c r="D64" s="274"/>
      <c r="E64" s="274"/>
      <c r="F64" s="274"/>
      <c r="G64" s="274"/>
      <c r="H64" s="274"/>
      <c r="I64" s="274"/>
      <c r="J64" s="274"/>
      <c r="K64" s="274"/>
      <c r="L64" s="274"/>
      <c r="M64" s="274"/>
      <c r="N64" s="274"/>
      <c r="O64" s="274" t="s">
        <v>711</v>
      </c>
      <c r="P64" s="277" t="s">
        <v>248</v>
      </c>
      <c r="Q64" s="275" t="str">
        <f t="shared" si="0"/>
        <v>E09000020</v>
      </c>
      <c r="R64" s="274"/>
      <c r="S64" s="274"/>
      <c r="T64" s="274"/>
      <c r="U64" s="274" t="s">
        <v>249</v>
      </c>
      <c r="V64" s="274" t="s">
        <v>250</v>
      </c>
      <c r="W64" s="276">
        <v>4646</v>
      </c>
      <c r="X64" s="274">
        <v>15516</v>
      </c>
      <c r="Y64" s="274"/>
      <c r="Z64" s="274" t="s">
        <v>711</v>
      </c>
      <c r="AA64" s="277" t="s">
        <v>248</v>
      </c>
      <c r="AB64" s="274" t="s">
        <v>711</v>
      </c>
      <c r="AC64" s="274"/>
      <c r="AD64" s="274"/>
      <c r="AE64" s="274"/>
      <c r="AF64" s="274"/>
      <c r="AG64" s="274"/>
      <c r="AH64" s="274"/>
      <c r="AI64" s="274"/>
      <c r="AJ64" s="274"/>
      <c r="AK64" s="274"/>
      <c r="AL64" s="274"/>
      <c r="AM64" t="s">
        <v>1588</v>
      </c>
      <c r="AN64" s="447" t="s">
        <v>150</v>
      </c>
      <c r="AO64" s="447" t="s">
        <v>448</v>
      </c>
      <c r="AP64" s="501">
        <v>39986</v>
      </c>
      <c r="AU64" t="s">
        <v>245</v>
      </c>
      <c r="AV64" s="510">
        <v>4907.8034682080925</v>
      </c>
      <c r="AX64" t="str">
        <f>AY64&amp;COUNTIF($AY$3:AY64,AY64)</f>
        <v>Essex4</v>
      </c>
      <c r="AY64" s="513" t="s">
        <v>180</v>
      </c>
      <c r="AZ64" s="513" t="s">
        <v>40</v>
      </c>
      <c r="BA64" s="514">
        <v>4853.7136926605508</v>
      </c>
    </row>
    <row r="65" spans="1:53">
      <c r="A65" s="274"/>
      <c r="B65" s="274"/>
      <c r="C65" s="274"/>
      <c r="D65" s="274"/>
      <c r="E65" s="278" t="s">
        <v>251</v>
      </c>
      <c r="F65" s="274"/>
      <c r="G65" s="274"/>
      <c r="H65" s="274"/>
      <c r="I65" s="274"/>
      <c r="J65" s="274"/>
      <c r="K65" s="274"/>
      <c r="L65" s="274"/>
      <c r="M65" s="274"/>
      <c r="N65" s="274"/>
      <c r="O65" s="274" t="s">
        <v>712</v>
      </c>
      <c r="P65" s="277" t="s">
        <v>252</v>
      </c>
      <c r="Q65" s="275" t="str">
        <f t="shared" si="0"/>
        <v>E10000016</v>
      </c>
      <c r="R65" s="274"/>
      <c r="S65" s="274"/>
      <c r="T65" s="274"/>
      <c r="U65" s="274" t="s">
        <v>253</v>
      </c>
      <c r="V65" s="274" t="s">
        <v>254</v>
      </c>
      <c r="W65" s="276">
        <v>4739</v>
      </c>
      <c r="X65" s="274">
        <v>14697</v>
      </c>
      <c r="Y65" s="274"/>
      <c r="Z65" s="274" t="s">
        <v>712</v>
      </c>
      <c r="AA65" s="277" t="s">
        <v>252</v>
      </c>
      <c r="AB65" s="274" t="s">
        <v>712</v>
      </c>
      <c r="AC65" s="274"/>
      <c r="AD65" s="274"/>
      <c r="AE65" s="274"/>
      <c r="AF65" s="274"/>
      <c r="AG65" s="274"/>
      <c r="AH65" s="274"/>
      <c r="AI65" s="274"/>
      <c r="AJ65" s="274"/>
      <c r="AK65" s="274"/>
      <c r="AL65" s="274"/>
      <c r="AM65" t="s">
        <v>1563</v>
      </c>
      <c r="AN65" s="447"/>
      <c r="AO65" s="447" t="s">
        <v>1295</v>
      </c>
      <c r="AP65" s="501" t="s">
        <v>1295</v>
      </c>
      <c r="AU65" t="s">
        <v>248</v>
      </c>
      <c r="AV65" s="510">
        <v>3809.2485549132948</v>
      </c>
      <c r="AX65" t="str">
        <f>AY65&amp;COUNTIF($AY$3:AY65,AY65)</f>
        <v>Essex5</v>
      </c>
      <c r="AY65" s="513" t="s">
        <v>180</v>
      </c>
      <c r="AZ65" s="513" t="s">
        <v>1216</v>
      </c>
      <c r="BA65" s="514">
        <v>3422.4904243119263</v>
      </c>
    </row>
    <row r="66" spans="1:53">
      <c r="A66" s="274"/>
      <c r="B66" s="274"/>
      <c r="C66" s="274"/>
      <c r="D66" s="274"/>
      <c r="E66" s="274"/>
      <c r="F66" s="274"/>
      <c r="G66" s="274"/>
      <c r="H66" s="274"/>
      <c r="I66" s="274"/>
      <c r="J66" s="274"/>
      <c r="K66" s="274"/>
      <c r="L66" s="274"/>
      <c r="M66" s="274"/>
      <c r="N66" s="274"/>
      <c r="O66" s="274" t="s">
        <v>713</v>
      </c>
      <c r="P66" s="277" t="s">
        <v>255</v>
      </c>
      <c r="Q66" s="275" t="str">
        <f t="shared" si="0"/>
        <v>E06000010</v>
      </c>
      <c r="R66" s="274"/>
      <c r="S66" s="274"/>
      <c r="T66" s="274"/>
      <c r="U66" s="274" t="s">
        <v>256</v>
      </c>
      <c r="V66" s="274" t="s">
        <v>257</v>
      </c>
      <c r="W66" s="276">
        <v>4282</v>
      </c>
      <c r="X66" s="274">
        <v>13223</v>
      </c>
      <c r="Y66" s="274"/>
      <c r="Z66" s="274" t="s">
        <v>713</v>
      </c>
      <c r="AA66" s="277" t="s">
        <v>255</v>
      </c>
      <c r="AB66" s="274" t="s">
        <v>713</v>
      </c>
      <c r="AC66" s="274"/>
      <c r="AD66" s="274"/>
      <c r="AE66" s="274"/>
      <c r="AF66" s="274"/>
      <c r="AG66" s="274"/>
      <c r="AH66" s="274"/>
      <c r="AI66" s="274"/>
      <c r="AJ66" s="274"/>
      <c r="AK66" s="274"/>
      <c r="AL66" s="274"/>
      <c r="AM66" t="s">
        <v>1563</v>
      </c>
      <c r="AN66" s="447"/>
      <c r="AO66" s="447" t="s">
        <v>1295</v>
      </c>
      <c r="AP66" s="501" t="s">
        <v>1295</v>
      </c>
      <c r="AU66" t="s">
        <v>252</v>
      </c>
      <c r="AV66" s="510">
        <v>26232.369942196532</v>
      </c>
      <c r="AX66" t="str">
        <f>AY66&amp;COUNTIF($AY$3:AY66,AY66)</f>
        <v>Gateshead1</v>
      </c>
      <c r="AY66" s="512" t="s">
        <v>184</v>
      </c>
      <c r="AZ66" s="512" t="s">
        <v>242</v>
      </c>
      <c r="BA66" s="514">
        <v>5194.2209999999995</v>
      </c>
    </row>
    <row r="67" spans="1:53">
      <c r="A67" s="274"/>
      <c r="B67" s="274"/>
      <c r="C67" s="274"/>
      <c r="D67" s="274"/>
      <c r="E67" s="274"/>
      <c r="F67" s="274"/>
      <c r="G67" s="274"/>
      <c r="H67" s="274"/>
      <c r="I67" s="274"/>
      <c r="J67" s="274"/>
      <c r="K67" s="274"/>
      <c r="L67" s="274"/>
      <c r="M67" s="274"/>
      <c r="N67" s="274"/>
      <c r="O67" s="274" t="s">
        <v>714</v>
      </c>
      <c r="P67" s="277" t="s">
        <v>258</v>
      </c>
      <c r="Q67" s="275" t="str">
        <f t="shared" si="0"/>
        <v>E09000021</v>
      </c>
      <c r="R67" s="274"/>
      <c r="S67" s="274"/>
      <c r="T67" s="274"/>
      <c r="U67" s="274" t="s">
        <v>259</v>
      </c>
      <c r="V67" s="274" t="s">
        <v>260</v>
      </c>
      <c r="W67" s="276">
        <v>6097</v>
      </c>
      <c r="X67" s="274">
        <v>18010</v>
      </c>
      <c r="Y67" s="274"/>
      <c r="Z67" s="274" t="s">
        <v>714</v>
      </c>
      <c r="AA67" s="277" t="s">
        <v>258</v>
      </c>
      <c r="AB67" s="274" t="s">
        <v>714</v>
      </c>
      <c r="AC67" s="274"/>
      <c r="AD67" s="274"/>
      <c r="AE67" s="274"/>
      <c r="AF67" s="274"/>
      <c r="AG67" s="274"/>
      <c r="AH67" s="274"/>
      <c r="AI67" s="274"/>
      <c r="AJ67" s="274"/>
      <c r="AK67" s="274"/>
      <c r="AL67" s="274"/>
      <c r="AM67" t="s">
        <v>1563</v>
      </c>
      <c r="AN67" s="447"/>
      <c r="AO67" s="447" t="s">
        <v>1295</v>
      </c>
      <c r="AP67" s="501" t="s">
        <v>1295</v>
      </c>
      <c r="AU67" t="s">
        <v>255</v>
      </c>
      <c r="AV67" s="510">
        <v>5729.4797687861274</v>
      </c>
      <c r="AX67" t="str">
        <f>AY67&amp;COUNTIF($AY$3:AY67,AY67)</f>
        <v>Gloucestershire1</v>
      </c>
      <c r="AY67" s="512" t="s">
        <v>188</v>
      </c>
      <c r="AZ67" s="512" t="s">
        <v>246</v>
      </c>
      <c r="BA67" s="514">
        <v>11595.761</v>
      </c>
    </row>
    <row r="68" spans="1:53">
      <c r="A68" s="274"/>
      <c r="B68" s="274"/>
      <c r="C68" s="274"/>
      <c r="D68" s="274"/>
      <c r="E68" s="274"/>
      <c r="F68" s="274"/>
      <c r="G68" s="274"/>
      <c r="H68" s="274"/>
      <c r="I68" s="274"/>
      <c r="J68" s="274"/>
      <c r="K68" s="274"/>
      <c r="L68" s="274"/>
      <c r="M68" s="274"/>
      <c r="N68" s="274"/>
      <c r="O68" s="274" t="s">
        <v>715</v>
      </c>
      <c r="P68" s="277" t="s">
        <v>261</v>
      </c>
      <c r="Q68" s="275" t="str">
        <f t="shared" ref="Q68:Q131" si="1">O68</f>
        <v>E08000034</v>
      </c>
      <c r="R68" s="274"/>
      <c r="S68" s="274"/>
      <c r="T68" s="274"/>
      <c r="U68" s="274" t="s">
        <v>262</v>
      </c>
      <c r="V68" s="274" t="s">
        <v>263</v>
      </c>
      <c r="W68" s="276">
        <v>3322</v>
      </c>
      <c r="X68" s="274">
        <v>11609</v>
      </c>
      <c r="Y68" s="274"/>
      <c r="Z68" s="274" t="s">
        <v>715</v>
      </c>
      <c r="AA68" s="277" t="s">
        <v>261</v>
      </c>
      <c r="AB68" s="274" t="s">
        <v>715</v>
      </c>
      <c r="AC68" s="274"/>
      <c r="AD68" s="274"/>
      <c r="AE68" s="274"/>
      <c r="AF68" s="274"/>
      <c r="AG68" s="274"/>
      <c r="AH68" s="274"/>
      <c r="AI68" s="274"/>
      <c r="AJ68" s="274"/>
      <c r="AK68" s="274"/>
      <c r="AL68" s="274"/>
      <c r="AM68" t="s">
        <v>1563</v>
      </c>
      <c r="AN68" s="447"/>
      <c r="AO68" s="447" t="s">
        <v>1295</v>
      </c>
      <c r="AP68" s="501" t="s">
        <v>1295</v>
      </c>
      <c r="AU68" t="s">
        <v>258</v>
      </c>
      <c r="AV68" s="510">
        <v>2856.0693641618495</v>
      </c>
      <c r="AX68" t="str">
        <f>AY68&amp;COUNTIF($AY$3:AY68,AY68)</f>
        <v>Greenwich1</v>
      </c>
      <c r="AY68" s="512" t="s">
        <v>192</v>
      </c>
      <c r="AZ68" s="512" t="s">
        <v>259</v>
      </c>
      <c r="BA68" s="514">
        <v>6097.1009999999997</v>
      </c>
    </row>
    <row r="69" spans="1:53">
      <c r="A69" s="274"/>
      <c r="B69" s="274"/>
      <c r="C69" s="274"/>
      <c r="D69" s="274"/>
      <c r="E69" s="274"/>
      <c r="F69" s="274"/>
      <c r="G69" s="274"/>
      <c r="H69" s="274"/>
      <c r="I69" s="274"/>
      <c r="J69" s="274"/>
      <c r="K69" s="274"/>
      <c r="L69" s="274"/>
      <c r="M69" s="274"/>
      <c r="N69" s="274"/>
      <c r="O69" s="274" t="s">
        <v>716</v>
      </c>
      <c r="P69" s="277" t="s">
        <v>264</v>
      </c>
      <c r="Q69" s="275" t="str">
        <f t="shared" si="1"/>
        <v>E08000011</v>
      </c>
      <c r="R69" s="274"/>
      <c r="S69" s="274"/>
      <c r="T69" s="274"/>
      <c r="U69" s="274" t="s">
        <v>265</v>
      </c>
      <c r="V69" s="274" t="s">
        <v>266</v>
      </c>
      <c r="W69" s="276">
        <v>2929</v>
      </c>
      <c r="X69" s="274">
        <v>9451</v>
      </c>
      <c r="Y69" s="274"/>
      <c r="Z69" s="274" t="s">
        <v>716</v>
      </c>
      <c r="AA69" s="277" t="s">
        <v>264</v>
      </c>
      <c r="AB69" s="274" t="s">
        <v>716</v>
      </c>
      <c r="AC69" s="274"/>
      <c r="AD69" s="274"/>
      <c r="AE69" s="274"/>
      <c r="AF69" s="274"/>
      <c r="AG69" s="274"/>
      <c r="AH69" s="274"/>
      <c r="AI69" s="274"/>
      <c r="AJ69" s="274"/>
      <c r="AK69" s="274"/>
      <c r="AL69" s="274"/>
      <c r="AM69" t="s">
        <v>1563</v>
      </c>
      <c r="AN69" s="447"/>
      <c r="AO69" s="447" t="s">
        <v>1295</v>
      </c>
      <c r="AP69" s="501" t="s">
        <v>1295</v>
      </c>
      <c r="AU69" t="s">
        <v>261</v>
      </c>
      <c r="AV69" s="510">
        <v>7674.8554913294793</v>
      </c>
      <c r="AX69" t="str">
        <f>AY69&amp;COUNTIF($AY$3:AY69,AY69)</f>
        <v>Hackney1</v>
      </c>
      <c r="AY69" s="512" t="s">
        <v>195</v>
      </c>
      <c r="AZ69" s="512" t="s">
        <v>147</v>
      </c>
      <c r="BA69" s="514">
        <v>6439.598</v>
      </c>
    </row>
    <row r="70" spans="1:53">
      <c r="A70" s="274"/>
      <c r="B70" s="274"/>
      <c r="C70" s="274"/>
      <c r="D70" s="274"/>
      <c r="E70" s="274"/>
      <c r="F70" s="274"/>
      <c r="G70" s="274"/>
      <c r="H70" s="274"/>
      <c r="I70" s="274"/>
      <c r="J70" s="274"/>
      <c r="K70" s="274"/>
      <c r="L70" s="274"/>
      <c r="M70" s="274"/>
      <c r="N70" s="274"/>
      <c r="O70" s="274" t="s">
        <v>717</v>
      </c>
      <c r="P70" s="277" t="s">
        <v>267</v>
      </c>
      <c r="Q70" s="275" t="str">
        <f t="shared" si="1"/>
        <v>E09000022</v>
      </c>
      <c r="R70" s="274"/>
      <c r="S70" s="274"/>
      <c r="T70" s="274"/>
      <c r="U70" s="274" t="s">
        <v>268</v>
      </c>
      <c r="V70" s="274" t="s">
        <v>269</v>
      </c>
      <c r="W70" s="276">
        <v>2829</v>
      </c>
      <c r="X70" s="274">
        <v>9152</v>
      </c>
      <c r="Y70" s="274"/>
      <c r="Z70" s="274" t="s">
        <v>717</v>
      </c>
      <c r="AA70" s="277" t="s">
        <v>267</v>
      </c>
      <c r="AB70" s="274" t="s">
        <v>717</v>
      </c>
      <c r="AC70" s="274"/>
      <c r="AD70" s="274"/>
      <c r="AE70" s="274"/>
      <c r="AF70" s="274"/>
      <c r="AG70" s="274"/>
      <c r="AH70" s="274"/>
      <c r="AI70" s="274"/>
      <c r="AJ70" s="274"/>
      <c r="AK70" s="274"/>
      <c r="AL70" s="274"/>
      <c r="AM70" t="s">
        <v>1563</v>
      </c>
      <c r="AN70" s="447"/>
      <c r="AO70" s="447" t="s">
        <v>1295</v>
      </c>
      <c r="AP70" s="501" t="s">
        <v>1295</v>
      </c>
      <c r="AU70" t="s">
        <v>264</v>
      </c>
      <c r="AV70" s="510">
        <v>3878.6127167630057</v>
      </c>
      <c r="AX70" t="str">
        <f>AY70&amp;COUNTIF($AY$3:AY70,AY70)</f>
        <v>Halton1</v>
      </c>
      <c r="AY70" s="512" t="s">
        <v>198</v>
      </c>
      <c r="AZ70" s="512" t="s">
        <v>265</v>
      </c>
      <c r="BA70" s="514">
        <v>2929.355</v>
      </c>
    </row>
    <row r="71" spans="1:53">
      <c r="A71" s="274"/>
      <c r="B71" s="274"/>
      <c r="C71" s="274"/>
      <c r="D71" s="274"/>
      <c r="E71" s="274"/>
      <c r="F71" s="274"/>
      <c r="G71" s="274"/>
      <c r="H71" s="274"/>
      <c r="I71" s="274"/>
      <c r="J71" s="274"/>
      <c r="K71" s="274"/>
      <c r="L71" s="274"/>
      <c r="M71" s="274"/>
      <c r="N71" s="274"/>
      <c r="O71" s="274" t="s">
        <v>718</v>
      </c>
      <c r="P71" s="277" t="s">
        <v>270</v>
      </c>
      <c r="Q71" s="275" t="str">
        <f t="shared" si="1"/>
        <v>E10000017</v>
      </c>
      <c r="R71" s="274"/>
      <c r="S71" s="274"/>
      <c r="T71" s="274"/>
      <c r="U71" s="274" t="s">
        <v>271</v>
      </c>
      <c r="V71" s="274" t="s">
        <v>272</v>
      </c>
      <c r="W71" s="276">
        <v>4209</v>
      </c>
      <c r="X71" s="274">
        <v>13148</v>
      </c>
      <c r="Y71" s="274"/>
      <c r="Z71" s="274" t="s">
        <v>718</v>
      </c>
      <c r="AA71" s="277" t="s">
        <v>270</v>
      </c>
      <c r="AB71" s="274" t="s">
        <v>718</v>
      </c>
      <c r="AC71" s="274"/>
      <c r="AD71" s="274"/>
      <c r="AE71" s="274"/>
      <c r="AF71" s="274"/>
      <c r="AG71" s="274"/>
      <c r="AH71" s="274"/>
      <c r="AI71" s="274"/>
      <c r="AJ71" s="274"/>
      <c r="AK71" s="274"/>
      <c r="AL71" s="274"/>
      <c r="AM71" t="s">
        <v>1589</v>
      </c>
      <c r="AN71" s="120" t="s">
        <v>154</v>
      </c>
      <c r="AO71" s="120" t="s">
        <v>181</v>
      </c>
      <c r="AP71" s="502">
        <v>22078</v>
      </c>
      <c r="AU71" t="s">
        <v>267</v>
      </c>
      <c r="AV71" s="510">
        <v>6360.4046242774566</v>
      </c>
      <c r="AX71" t="str">
        <f>AY71&amp;COUNTIF($AY$3:AY71,AY71)</f>
        <v>Hammersmith and Fulham1</v>
      </c>
      <c r="AY71" s="512" t="s">
        <v>202</v>
      </c>
      <c r="AZ71" s="512" t="s">
        <v>271</v>
      </c>
      <c r="BA71" s="514">
        <v>4209.2470000000003</v>
      </c>
    </row>
    <row r="72" spans="1:53">
      <c r="A72" s="274"/>
      <c r="B72" s="274"/>
      <c r="C72" s="274"/>
      <c r="D72" s="274"/>
      <c r="E72" s="274"/>
      <c r="F72" s="274"/>
      <c r="G72" s="274"/>
      <c r="H72" s="274"/>
      <c r="I72" s="274"/>
      <c r="J72" s="274"/>
      <c r="K72" s="274"/>
      <c r="L72" s="274"/>
      <c r="M72" s="274"/>
      <c r="N72" s="274"/>
      <c r="O72" s="274" t="s">
        <v>719</v>
      </c>
      <c r="P72" s="277" t="s">
        <v>273</v>
      </c>
      <c r="Q72" s="275" t="str">
        <f t="shared" si="1"/>
        <v>E08000035</v>
      </c>
      <c r="R72" s="274"/>
      <c r="S72" s="274"/>
      <c r="T72" s="274"/>
      <c r="U72" s="274" t="s">
        <v>274</v>
      </c>
      <c r="V72" s="274" t="s">
        <v>275</v>
      </c>
      <c r="W72" s="276">
        <v>2370</v>
      </c>
      <c r="X72" s="274">
        <v>7263</v>
      </c>
      <c r="Y72" s="274"/>
      <c r="Z72" s="274" t="s">
        <v>719</v>
      </c>
      <c r="AA72" s="277" t="s">
        <v>273</v>
      </c>
      <c r="AB72" s="274" t="s">
        <v>719</v>
      </c>
      <c r="AC72" s="274"/>
      <c r="AD72" s="274"/>
      <c r="AE72" s="274"/>
      <c r="AF72" s="274"/>
      <c r="AG72" s="274"/>
      <c r="AH72" s="274"/>
      <c r="AI72" s="274"/>
      <c r="AJ72" s="274"/>
      <c r="AK72" s="274"/>
      <c r="AL72" s="274"/>
      <c r="AM72" t="s">
        <v>1590</v>
      </c>
      <c r="AN72" s="447" t="s">
        <v>158</v>
      </c>
      <c r="AO72" s="447" t="s">
        <v>185</v>
      </c>
      <c r="AP72" s="501">
        <v>27368</v>
      </c>
      <c r="AU72" t="s">
        <v>270</v>
      </c>
      <c r="AV72" s="510">
        <v>22974.566473988441</v>
      </c>
      <c r="AX72" t="str">
        <f>AY72&amp;COUNTIF($AY$3:AY72,AY72)</f>
        <v>Hampshire1</v>
      </c>
      <c r="AY72" s="513" t="s">
        <v>205</v>
      </c>
      <c r="AZ72" s="513" t="s">
        <v>421</v>
      </c>
      <c r="BA72" s="514">
        <v>3588.2546009615385</v>
      </c>
    </row>
    <row r="73" spans="1:53">
      <c r="A73" s="274"/>
      <c r="B73" s="274"/>
      <c r="C73" s="274"/>
      <c r="D73" s="274"/>
      <c r="E73" s="274"/>
      <c r="F73" s="274"/>
      <c r="G73" s="274"/>
      <c r="H73" s="274"/>
      <c r="I73" s="274"/>
      <c r="J73" s="274"/>
      <c r="K73" s="274"/>
      <c r="L73" s="274"/>
      <c r="M73" s="274"/>
      <c r="N73" s="274"/>
      <c r="O73" s="274" t="s">
        <v>720</v>
      </c>
      <c r="P73" s="277" t="s">
        <v>276</v>
      </c>
      <c r="Q73" s="275" t="str">
        <f t="shared" si="1"/>
        <v>E06000016</v>
      </c>
      <c r="R73" s="274"/>
      <c r="S73" s="274"/>
      <c r="T73" s="274"/>
      <c r="U73" s="274" t="s">
        <v>277</v>
      </c>
      <c r="V73" s="274" t="s">
        <v>278</v>
      </c>
      <c r="W73" s="276">
        <v>5263</v>
      </c>
      <c r="X73" s="274">
        <v>16473</v>
      </c>
      <c r="Y73" s="274"/>
      <c r="Z73" s="274" t="s">
        <v>720</v>
      </c>
      <c r="AA73" s="277" t="s">
        <v>276</v>
      </c>
      <c r="AB73" s="274" t="s">
        <v>720</v>
      </c>
      <c r="AC73" s="274"/>
      <c r="AD73" s="274"/>
      <c r="AE73" s="274"/>
      <c r="AF73" s="274"/>
      <c r="AG73" s="274"/>
      <c r="AH73" s="274"/>
      <c r="AI73" s="274"/>
      <c r="AJ73" s="274"/>
      <c r="AK73" s="274"/>
      <c r="AL73" s="274"/>
      <c r="AM73" t="s">
        <v>1563</v>
      </c>
      <c r="AN73" s="447"/>
      <c r="AO73" s="447" t="s">
        <v>1295</v>
      </c>
      <c r="AP73" s="501" t="s">
        <v>1295</v>
      </c>
      <c r="AU73" t="s">
        <v>273</v>
      </c>
      <c r="AV73" s="510">
        <v>14485.838150289017</v>
      </c>
      <c r="AX73" t="str">
        <f>AY73&amp;COUNTIF($AY$3:AY73,AY73)</f>
        <v>Hampshire2</v>
      </c>
      <c r="AY73" s="513" t="s">
        <v>205</v>
      </c>
      <c r="AZ73" s="513" t="s">
        <v>235</v>
      </c>
      <c r="BA73" s="514">
        <v>3300.1465673076918</v>
      </c>
    </row>
    <row r="74" spans="1:53">
      <c r="A74" s="274"/>
      <c r="B74" s="274"/>
      <c r="C74" s="274"/>
      <c r="D74" s="274"/>
      <c r="E74" s="274"/>
      <c r="F74" s="274"/>
      <c r="G74" s="274"/>
      <c r="H74" s="274"/>
      <c r="I74" s="274"/>
      <c r="J74" s="274"/>
      <c r="K74" s="274"/>
      <c r="L74" s="274"/>
      <c r="M74" s="274"/>
      <c r="N74" s="274"/>
      <c r="O74" s="274" t="s">
        <v>721</v>
      </c>
      <c r="P74" s="277" t="s">
        <v>279</v>
      </c>
      <c r="Q74" s="275" t="str">
        <f t="shared" si="1"/>
        <v>E10000018</v>
      </c>
      <c r="R74" s="274"/>
      <c r="S74" s="274"/>
      <c r="T74" s="274"/>
      <c r="U74" s="274" t="s">
        <v>280</v>
      </c>
      <c r="V74" s="274" t="s">
        <v>281</v>
      </c>
      <c r="W74" s="276">
        <v>3097</v>
      </c>
      <c r="X74" s="274">
        <v>9557</v>
      </c>
      <c r="Y74" s="274"/>
      <c r="Z74" s="274" t="s">
        <v>721</v>
      </c>
      <c r="AA74" s="277" t="s">
        <v>279</v>
      </c>
      <c r="AB74" s="274" t="s">
        <v>721</v>
      </c>
      <c r="AC74" s="274"/>
      <c r="AD74" s="274"/>
      <c r="AE74" s="274"/>
      <c r="AF74" s="274"/>
      <c r="AG74" s="274"/>
      <c r="AH74" s="274"/>
      <c r="AI74" s="274"/>
      <c r="AJ74" s="274"/>
      <c r="AK74" s="274"/>
      <c r="AL74" s="274"/>
      <c r="AM74" t="s">
        <v>1563</v>
      </c>
      <c r="AN74" s="447"/>
      <c r="AO74" s="447" t="s">
        <v>1295</v>
      </c>
      <c r="AP74" s="501" t="s">
        <v>1295</v>
      </c>
      <c r="AU74" t="s">
        <v>276</v>
      </c>
      <c r="AV74" s="510">
        <v>6180.3468208092481</v>
      </c>
      <c r="AX74" t="str">
        <f>AY74&amp;COUNTIF($AY$3:AY74,AY74)</f>
        <v>Hampshire3</v>
      </c>
      <c r="AY74" s="513" t="s">
        <v>205</v>
      </c>
      <c r="AZ74" s="513" t="s">
        <v>521</v>
      </c>
      <c r="BA74" s="514">
        <v>3483.4880432692303</v>
      </c>
    </row>
    <row r="75" spans="1:53">
      <c r="A75" s="274"/>
      <c r="B75" s="274"/>
      <c r="C75" s="274"/>
      <c r="D75" s="274"/>
      <c r="E75" s="274"/>
      <c r="F75" s="274"/>
      <c r="G75" s="274"/>
      <c r="H75" s="274"/>
      <c r="I75" s="274"/>
      <c r="J75" s="274"/>
      <c r="K75" s="274"/>
      <c r="L75" s="274"/>
      <c r="M75" s="274"/>
      <c r="N75" s="274"/>
      <c r="O75" s="274" t="s">
        <v>722</v>
      </c>
      <c r="P75" s="277" t="s">
        <v>282</v>
      </c>
      <c r="Q75" s="275" t="str">
        <f t="shared" si="1"/>
        <v>E09000023</v>
      </c>
      <c r="R75" s="274"/>
      <c r="S75" s="274"/>
      <c r="T75" s="274"/>
      <c r="U75" s="274" t="s">
        <v>283</v>
      </c>
      <c r="V75" s="274" t="s">
        <v>284</v>
      </c>
      <c r="W75" s="276">
        <v>4445</v>
      </c>
      <c r="X75" s="274">
        <v>13183</v>
      </c>
      <c r="Y75" s="274"/>
      <c r="Z75" s="274" t="s">
        <v>722</v>
      </c>
      <c r="AA75" s="277" t="s">
        <v>282</v>
      </c>
      <c r="AB75" s="274" t="s">
        <v>722</v>
      </c>
      <c r="AC75" s="274"/>
      <c r="AD75" s="274"/>
      <c r="AE75" s="274"/>
      <c r="AF75" s="274"/>
      <c r="AG75" s="274"/>
      <c r="AH75" s="274"/>
      <c r="AI75" s="274"/>
      <c r="AJ75" s="274"/>
      <c r="AK75" s="274"/>
      <c r="AL75" s="274"/>
      <c r="AM75" t="s">
        <v>1563</v>
      </c>
      <c r="AN75" s="447"/>
      <c r="AO75" s="447" t="s">
        <v>1295</v>
      </c>
      <c r="AP75" s="501" t="s">
        <v>1295</v>
      </c>
      <c r="AU75" t="s">
        <v>279</v>
      </c>
      <c r="AV75" s="510">
        <v>10190.751445086706</v>
      </c>
      <c r="AX75" t="str">
        <f>AY75&amp;COUNTIF($AY$3:AY75,AY75)</f>
        <v>Hampshire4</v>
      </c>
      <c r="AY75" s="513" t="s">
        <v>205</v>
      </c>
      <c r="AZ75" s="513" t="s">
        <v>609</v>
      </c>
      <c r="BA75" s="514">
        <v>8774.1992067307692</v>
      </c>
    </row>
    <row r="76" spans="1:53">
      <c r="A76" s="274"/>
      <c r="B76" s="274"/>
      <c r="C76" s="274"/>
      <c r="D76" s="274"/>
      <c r="E76" s="274"/>
      <c r="F76" s="274"/>
      <c r="G76" s="274"/>
      <c r="H76" s="274"/>
      <c r="I76" s="274"/>
      <c r="J76" s="274"/>
      <c r="K76" s="274"/>
      <c r="L76" s="274"/>
      <c r="M76" s="274"/>
      <c r="N76" s="274"/>
      <c r="O76" s="274" t="s">
        <v>723</v>
      </c>
      <c r="P76" s="277" t="s">
        <v>285</v>
      </c>
      <c r="Q76" s="275" t="str">
        <f t="shared" si="1"/>
        <v>E10000019</v>
      </c>
      <c r="R76" s="274"/>
      <c r="S76" s="274"/>
      <c r="T76" s="274"/>
      <c r="U76" s="274" t="s">
        <v>286</v>
      </c>
      <c r="V76" s="274" t="s">
        <v>287</v>
      </c>
      <c r="W76" s="276">
        <v>6171</v>
      </c>
      <c r="X76" s="274">
        <v>19533</v>
      </c>
      <c r="Y76" s="274"/>
      <c r="Z76" s="274" t="s">
        <v>723</v>
      </c>
      <c r="AA76" s="277" t="s">
        <v>285</v>
      </c>
      <c r="AB76" s="274" t="s">
        <v>723</v>
      </c>
      <c r="AC76" s="274"/>
      <c r="AD76" s="274"/>
      <c r="AE76" s="274"/>
      <c r="AF76" s="274"/>
      <c r="AG76" s="274"/>
      <c r="AH76" s="274"/>
      <c r="AI76" s="274"/>
      <c r="AJ76" s="274"/>
      <c r="AK76" s="274"/>
      <c r="AL76" s="274"/>
      <c r="AM76" t="s">
        <v>1563</v>
      </c>
      <c r="AN76" s="447"/>
      <c r="AO76" s="447" t="s">
        <v>1295</v>
      </c>
      <c r="AP76" s="501" t="s">
        <v>1295</v>
      </c>
      <c r="AU76" t="s">
        <v>282</v>
      </c>
      <c r="AV76" s="510">
        <v>5705.2023121387283</v>
      </c>
      <c r="AX76" t="str">
        <f>AY76&amp;COUNTIF($AY$3:AY76,AY76)</f>
        <v>Hampshire5</v>
      </c>
      <c r="AY76" s="513" t="s">
        <v>205</v>
      </c>
      <c r="AZ76" s="513" t="s">
        <v>415</v>
      </c>
      <c r="BA76" s="514">
        <v>2645.3555817307692</v>
      </c>
    </row>
    <row r="77" spans="1:53">
      <c r="A77" s="274"/>
      <c r="B77" s="274"/>
      <c r="C77" s="274"/>
      <c r="D77" s="274"/>
      <c r="E77" s="274"/>
      <c r="F77" s="274"/>
      <c r="G77" s="274"/>
      <c r="H77" s="274"/>
      <c r="I77" s="274"/>
      <c r="J77" s="274"/>
      <c r="K77" s="274"/>
      <c r="L77" s="274"/>
      <c r="M77" s="274"/>
      <c r="N77" s="274"/>
      <c r="O77" s="274" t="s">
        <v>724</v>
      </c>
      <c r="P77" s="277" t="s">
        <v>288</v>
      </c>
      <c r="Q77" s="275" t="str">
        <f t="shared" si="1"/>
        <v>E08000012</v>
      </c>
      <c r="R77" s="274"/>
      <c r="S77" s="274"/>
      <c r="T77" s="274"/>
      <c r="U77" s="274" t="s">
        <v>289</v>
      </c>
      <c r="V77" s="274" t="s">
        <v>290</v>
      </c>
      <c r="W77" s="276">
        <v>3998</v>
      </c>
      <c r="X77" s="274">
        <v>13188</v>
      </c>
      <c r="Y77" s="274"/>
      <c r="Z77" s="274" t="s">
        <v>724</v>
      </c>
      <c r="AA77" s="277" t="s">
        <v>288</v>
      </c>
      <c r="AB77" s="274" t="s">
        <v>724</v>
      </c>
      <c r="AC77" s="274"/>
      <c r="AD77" s="274"/>
      <c r="AE77" s="274"/>
      <c r="AF77" s="274"/>
      <c r="AG77" s="274"/>
      <c r="AH77" s="274"/>
      <c r="AI77" s="274"/>
      <c r="AJ77" s="274"/>
      <c r="AK77" s="274"/>
      <c r="AL77" s="274"/>
      <c r="AM77" t="s">
        <v>1563</v>
      </c>
      <c r="AN77" s="447"/>
      <c r="AO77" s="447" t="s">
        <v>1295</v>
      </c>
      <c r="AP77" s="501" t="s">
        <v>1295</v>
      </c>
      <c r="AU77" t="s">
        <v>285</v>
      </c>
      <c r="AV77" s="510">
        <v>13988.150289017343</v>
      </c>
      <c r="AX77" t="str">
        <f>AY77&amp;COUNTIF($AY$3:AY77,AY77)</f>
        <v>Haringey1</v>
      </c>
      <c r="AY77" s="512" t="s">
        <v>209</v>
      </c>
      <c r="AZ77" s="512" t="s">
        <v>277</v>
      </c>
      <c r="BA77" s="514">
        <v>5262.5940000000001</v>
      </c>
    </row>
    <row r="78" spans="1:53">
      <c r="A78" s="274"/>
      <c r="B78" s="274"/>
      <c r="C78" s="274"/>
      <c r="D78" s="274"/>
      <c r="E78" s="274"/>
      <c r="F78" s="274"/>
      <c r="G78" s="274"/>
      <c r="H78" s="274"/>
      <c r="I78" s="274"/>
      <c r="J78" s="274"/>
      <c r="K78" s="274"/>
      <c r="L78" s="274"/>
      <c r="M78" s="274"/>
      <c r="N78" s="274"/>
      <c r="O78" s="274" t="s">
        <v>725</v>
      </c>
      <c r="P78" s="277" t="s">
        <v>291</v>
      </c>
      <c r="Q78" s="275" t="str">
        <f t="shared" si="1"/>
        <v>E06000032</v>
      </c>
      <c r="R78" s="274"/>
      <c r="S78" s="274"/>
      <c r="T78" s="274"/>
      <c r="U78" s="274" t="s">
        <v>292</v>
      </c>
      <c r="V78" s="274" t="s">
        <v>293</v>
      </c>
      <c r="W78" s="276">
        <v>4609</v>
      </c>
      <c r="X78" s="274">
        <v>15495</v>
      </c>
      <c r="Y78" s="274"/>
      <c r="Z78" s="274" t="s">
        <v>725</v>
      </c>
      <c r="AA78" s="277" t="s">
        <v>291</v>
      </c>
      <c r="AB78" s="274" t="s">
        <v>725</v>
      </c>
      <c r="AC78" s="274"/>
      <c r="AD78" s="274"/>
      <c r="AE78" s="274"/>
      <c r="AF78" s="274"/>
      <c r="AG78" s="274"/>
      <c r="AH78" s="274"/>
      <c r="AI78" s="274"/>
      <c r="AJ78" s="274"/>
      <c r="AK78" s="274"/>
      <c r="AL78" s="274"/>
      <c r="AM78" t="s">
        <v>1591</v>
      </c>
      <c r="AN78" s="120" t="s">
        <v>162</v>
      </c>
      <c r="AO78" s="120" t="s">
        <v>189</v>
      </c>
      <c r="AP78" s="502">
        <v>20690</v>
      </c>
      <c r="AU78" t="s">
        <v>288</v>
      </c>
      <c r="AV78" s="510">
        <v>11512.1387283237</v>
      </c>
      <c r="AX78" t="str">
        <f>AY78&amp;COUNTIF($AY$3:AY78,AY78)</f>
        <v>Harrow1</v>
      </c>
      <c r="AY78" s="512" t="s">
        <v>212</v>
      </c>
      <c r="AZ78" s="512" t="s">
        <v>283</v>
      </c>
      <c r="BA78" s="514">
        <v>4445.0469999999996</v>
      </c>
    </row>
    <row r="79" spans="1:53">
      <c r="A79" s="274"/>
      <c r="B79" s="274"/>
      <c r="C79" s="274"/>
      <c r="D79" s="274"/>
      <c r="E79" s="274"/>
      <c r="F79" s="274"/>
      <c r="G79" s="274"/>
      <c r="H79" s="274"/>
      <c r="I79" s="274"/>
      <c r="J79" s="274"/>
      <c r="K79" s="274"/>
      <c r="L79" s="274"/>
      <c r="M79" s="274"/>
      <c r="N79" s="274"/>
      <c r="O79" s="274" t="s">
        <v>726</v>
      </c>
      <c r="P79" s="277" t="s">
        <v>294</v>
      </c>
      <c r="Q79" s="275" t="str">
        <f t="shared" si="1"/>
        <v>E08000003</v>
      </c>
      <c r="R79" s="274"/>
      <c r="S79" s="274"/>
      <c r="T79" s="274"/>
      <c r="U79" s="274" t="s">
        <v>295</v>
      </c>
      <c r="V79" s="274" t="s">
        <v>296</v>
      </c>
      <c r="W79" s="276">
        <v>4036</v>
      </c>
      <c r="X79" s="274">
        <v>11694</v>
      </c>
      <c r="Y79" s="274"/>
      <c r="Z79" s="274" t="s">
        <v>726</v>
      </c>
      <c r="AA79" s="277" t="s">
        <v>294</v>
      </c>
      <c r="AB79" s="274" t="s">
        <v>726</v>
      </c>
      <c r="AC79" s="274"/>
      <c r="AD79" s="274"/>
      <c r="AE79" s="274"/>
      <c r="AF79" s="274"/>
      <c r="AG79" s="274"/>
      <c r="AH79" s="274"/>
      <c r="AI79" s="274"/>
      <c r="AJ79" s="274"/>
      <c r="AK79" s="274"/>
      <c r="AL79" s="274"/>
      <c r="AM79" t="s">
        <v>1592</v>
      </c>
      <c r="AN79" s="447" t="s">
        <v>166</v>
      </c>
      <c r="AO79" s="447" t="s">
        <v>196</v>
      </c>
      <c r="AP79" s="501">
        <v>22283</v>
      </c>
      <c r="AU79" t="s">
        <v>291</v>
      </c>
      <c r="AV79" s="510">
        <v>3467.6300578034684</v>
      </c>
      <c r="AX79" t="str">
        <f>AY79&amp;COUNTIF($AY$3:AY79,AY79)</f>
        <v>Hartlepool1</v>
      </c>
      <c r="AY79" s="512" t="s">
        <v>215</v>
      </c>
      <c r="AZ79" s="512" t="s">
        <v>286</v>
      </c>
      <c r="BA79" s="514">
        <v>2296.8159999999998</v>
      </c>
    </row>
    <row r="80" spans="1:53">
      <c r="A80" s="274"/>
      <c r="B80" s="274"/>
      <c r="C80" s="274"/>
      <c r="D80" s="274"/>
      <c r="E80" s="274"/>
      <c r="F80" s="274"/>
      <c r="G80" s="274"/>
      <c r="H80" s="274"/>
      <c r="I80" s="274"/>
      <c r="J80" s="274"/>
      <c r="K80" s="274"/>
      <c r="L80" s="274"/>
      <c r="M80" s="274"/>
      <c r="N80" s="274"/>
      <c r="O80" s="274" t="s">
        <v>727</v>
      </c>
      <c r="P80" s="277" t="s">
        <v>297</v>
      </c>
      <c r="Q80" s="275" t="str">
        <f t="shared" si="1"/>
        <v>E06000035</v>
      </c>
      <c r="R80" s="274"/>
      <c r="S80" s="274"/>
      <c r="T80" s="274"/>
      <c r="U80" s="274" t="s">
        <v>298</v>
      </c>
      <c r="V80" s="274" t="s">
        <v>299</v>
      </c>
      <c r="W80" s="276">
        <v>9585</v>
      </c>
      <c r="X80" s="274">
        <v>33164</v>
      </c>
      <c r="Y80" s="274"/>
      <c r="Z80" s="274" t="s">
        <v>727</v>
      </c>
      <c r="AA80" s="277" t="s">
        <v>297</v>
      </c>
      <c r="AB80" s="274" t="s">
        <v>727</v>
      </c>
      <c r="AC80" s="274"/>
      <c r="AD80" s="274"/>
      <c r="AE80" s="274"/>
      <c r="AF80" s="274"/>
      <c r="AG80" s="274"/>
      <c r="AH80" s="274"/>
      <c r="AI80" s="274"/>
      <c r="AJ80" s="274"/>
      <c r="AK80" s="274"/>
      <c r="AL80" s="274"/>
      <c r="AM80" t="s">
        <v>1593</v>
      </c>
      <c r="AN80" s="120" t="s">
        <v>169</v>
      </c>
      <c r="AO80" s="120" t="s">
        <v>589</v>
      </c>
      <c r="AP80" s="502">
        <v>1258</v>
      </c>
      <c r="AU80" t="s">
        <v>294</v>
      </c>
      <c r="AV80" s="510">
        <v>10878.034682080925</v>
      </c>
      <c r="AX80" t="str">
        <f>AY80&amp;COUNTIF($AY$3:AY80,AY80)</f>
        <v>Havering1</v>
      </c>
      <c r="AY80" s="512" t="s">
        <v>219</v>
      </c>
      <c r="AZ80" s="512" t="s">
        <v>292</v>
      </c>
      <c r="BA80" s="514">
        <v>4609.3810000000003</v>
      </c>
    </row>
    <row r="81" spans="1:53">
      <c r="A81" s="274"/>
      <c r="B81" s="274"/>
      <c r="C81" s="274"/>
      <c r="D81" s="274"/>
      <c r="E81" s="274"/>
      <c r="F81" s="274"/>
      <c r="G81" s="274"/>
      <c r="H81" s="274"/>
      <c r="I81" s="274"/>
      <c r="J81" s="274"/>
      <c r="K81" s="274"/>
      <c r="L81" s="274"/>
      <c r="M81" s="274"/>
      <c r="N81" s="274"/>
      <c r="O81" s="274" t="s">
        <v>728</v>
      </c>
      <c r="P81" s="277" t="s">
        <v>300</v>
      </c>
      <c r="Q81" s="275" t="str">
        <f t="shared" si="1"/>
        <v>E09000024</v>
      </c>
      <c r="R81" s="274"/>
      <c r="S81" s="274"/>
      <c r="T81" s="274"/>
      <c r="U81" s="274" t="s">
        <v>301</v>
      </c>
      <c r="V81" s="274" t="s">
        <v>302</v>
      </c>
      <c r="W81" s="276">
        <v>5080</v>
      </c>
      <c r="X81" s="274">
        <v>15125</v>
      </c>
      <c r="Y81" s="274"/>
      <c r="Z81" s="274" t="s">
        <v>728</v>
      </c>
      <c r="AA81" s="277" t="s">
        <v>300</v>
      </c>
      <c r="AB81" s="274" t="s">
        <v>728</v>
      </c>
      <c r="AC81" s="274"/>
      <c r="AD81" s="274"/>
      <c r="AE81" s="274"/>
      <c r="AF81" s="274"/>
      <c r="AG81" s="274"/>
      <c r="AH81" s="274"/>
      <c r="AI81" s="274"/>
      <c r="AJ81" s="274"/>
      <c r="AK81" s="274"/>
      <c r="AL81" s="274"/>
      <c r="AM81" t="s">
        <v>1594</v>
      </c>
      <c r="AN81" s="120" t="s">
        <v>169</v>
      </c>
      <c r="AO81" s="120" t="s">
        <v>210</v>
      </c>
      <c r="AP81" s="502">
        <v>19212</v>
      </c>
      <c r="AU81" t="s">
        <v>297</v>
      </c>
      <c r="AV81" s="510">
        <v>4668.7861271676302</v>
      </c>
      <c r="AX81" t="str">
        <f>AY81&amp;COUNTIF($AY$3:AY81,AY81)</f>
        <v>Herefordshire, County of1</v>
      </c>
      <c r="AY81" s="512" t="s">
        <v>223</v>
      </c>
      <c r="AZ81" s="512" t="s">
        <v>295</v>
      </c>
      <c r="BA81" s="514">
        <v>4036.1460000000002</v>
      </c>
    </row>
    <row r="82" spans="1:53">
      <c r="A82" s="274"/>
      <c r="B82" s="274"/>
      <c r="C82" s="274"/>
      <c r="D82" s="274"/>
      <c r="E82" s="274"/>
      <c r="F82" s="274"/>
      <c r="G82" s="274"/>
      <c r="H82" s="274"/>
      <c r="I82" s="274"/>
      <c r="J82" s="274"/>
      <c r="K82" s="274"/>
      <c r="L82" s="274"/>
      <c r="M82" s="274"/>
      <c r="N82" s="274"/>
      <c r="O82" s="274" t="s">
        <v>729</v>
      </c>
      <c r="P82" s="277" t="s">
        <v>303</v>
      </c>
      <c r="Q82" s="275" t="str">
        <f t="shared" si="1"/>
        <v>E06000002</v>
      </c>
      <c r="R82" s="274"/>
      <c r="S82" s="274"/>
      <c r="T82" s="274"/>
      <c r="U82" s="274" t="s">
        <v>304</v>
      </c>
      <c r="V82" s="274" t="s">
        <v>305</v>
      </c>
      <c r="W82" s="276">
        <v>3746</v>
      </c>
      <c r="X82" s="274">
        <v>10614</v>
      </c>
      <c r="Y82" s="274"/>
      <c r="Z82" s="274" t="s">
        <v>729</v>
      </c>
      <c r="AA82" s="277" t="s">
        <v>303</v>
      </c>
      <c r="AB82" s="274" t="s">
        <v>729</v>
      </c>
      <c r="AC82" s="274"/>
      <c r="AD82" s="274"/>
      <c r="AE82" s="274"/>
      <c r="AF82" s="274"/>
      <c r="AG82" s="274"/>
      <c r="AH82" s="274"/>
      <c r="AI82" s="274"/>
      <c r="AJ82" s="274"/>
      <c r="AK82" s="274"/>
      <c r="AL82" s="274"/>
      <c r="AM82" t="s">
        <v>1595</v>
      </c>
      <c r="AN82" s="447" t="s">
        <v>173</v>
      </c>
      <c r="AO82" s="447" t="s">
        <v>304</v>
      </c>
      <c r="AP82" s="501">
        <v>10614</v>
      </c>
      <c r="AU82" t="s">
        <v>300</v>
      </c>
      <c r="AV82" s="510">
        <v>3252.6011560693642</v>
      </c>
      <c r="AX82" t="str">
        <f>AY82&amp;COUNTIF($AY$3:AY82,AY82)</f>
        <v>Hertfordshire1</v>
      </c>
      <c r="AY82" s="513" t="s">
        <v>227</v>
      </c>
      <c r="AZ82" s="513" t="s">
        <v>115</v>
      </c>
      <c r="BA82" s="514">
        <v>302.09191594202895</v>
      </c>
    </row>
    <row r="83" spans="1:53">
      <c r="A83" s="274"/>
      <c r="B83" s="274"/>
      <c r="C83" s="274"/>
      <c r="D83" s="274"/>
      <c r="E83" s="274"/>
      <c r="F83" s="274"/>
      <c r="G83" s="274"/>
      <c r="H83" s="274"/>
      <c r="I83" s="274"/>
      <c r="J83" s="274"/>
      <c r="K83" s="274"/>
      <c r="L83" s="274"/>
      <c r="M83" s="274"/>
      <c r="N83" s="274"/>
      <c r="O83" s="274" t="s">
        <v>730</v>
      </c>
      <c r="P83" s="277" t="s">
        <v>306</v>
      </c>
      <c r="Q83" s="275" t="str">
        <f t="shared" si="1"/>
        <v>E06000042</v>
      </c>
      <c r="R83" s="274"/>
      <c r="S83" s="274"/>
      <c r="T83" s="274"/>
      <c r="U83" s="274" t="s">
        <v>307</v>
      </c>
      <c r="V83" s="274" t="s">
        <v>308</v>
      </c>
      <c r="W83" s="276">
        <v>4772</v>
      </c>
      <c r="X83" s="274">
        <v>15642</v>
      </c>
      <c r="Y83" s="274"/>
      <c r="Z83" s="274" t="s">
        <v>730</v>
      </c>
      <c r="AA83" s="277" t="s">
        <v>306</v>
      </c>
      <c r="AB83" s="274" t="s">
        <v>730</v>
      </c>
      <c r="AC83" s="274"/>
      <c r="AD83" s="274"/>
      <c r="AE83" s="274"/>
      <c r="AF83" s="274"/>
      <c r="AG83" s="274"/>
      <c r="AH83" s="274"/>
      <c r="AI83" s="274"/>
      <c r="AJ83" s="274"/>
      <c r="AK83" s="274"/>
      <c r="AL83" s="274"/>
      <c r="AM83" t="s">
        <v>1596</v>
      </c>
      <c r="AN83" s="447" t="s">
        <v>173</v>
      </c>
      <c r="AO83" s="447" t="s">
        <v>1245</v>
      </c>
      <c r="AP83" s="501">
        <v>13188</v>
      </c>
      <c r="AU83" t="s">
        <v>303</v>
      </c>
      <c r="AV83" s="510">
        <v>3013.872832369942</v>
      </c>
      <c r="AX83" t="str">
        <f>AY83&amp;COUNTIF($AY$3:AY83,AY83)</f>
        <v>Hertfordshire2</v>
      </c>
      <c r="AY83" s="513" t="s">
        <v>227</v>
      </c>
      <c r="AZ83" s="513" t="s">
        <v>199</v>
      </c>
      <c r="BA83" s="514">
        <v>9062.7574782608681</v>
      </c>
    </row>
    <row r="84" spans="1:53">
      <c r="A84" s="274"/>
      <c r="B84" s="274"/>
      <c r="C84" s="274"/>
      <c r="D84" s="274"/>
      <c r="E84" s="274"/>
      <c r="F84" s="274"/>
      <c r="G84" s="274"/>
      <c r="H84" s="274"/>
      <c r="I84" s="274"/>
      <c r="J84" s="274"/>
      <c r="K84" s="274"/>
      <c r="L84" s="274"/>
      <c r="M84" s="274"/>
      <c r="N84" s="274"/>
      <c r="O84" s="274" t="s">
        <v>731</v>
      </c>
      <c r="P84" s="277" t="s">
        <v>309</v>
      </c>
      <c r="Q84" s="275" t="str">
        <f t="shared" si="1"/>
        <v>E08000021</v>
      </c>
      <c r="R84" s="274"/>
      <c r="S84" s="274"/>
      <c r="T84" s="274"/>
      <c r="U84" s="274" t="s">
        <v>310</v>
      </c>
      <c r="V84" s="274" t="s">
        <v>311</v>
      </c>
      <c r="W84" s="276">
        <v>4109</v>
      </c>
      <c r="X84" s="274">
        <v>12712</v>
      </c>
      <c r="Y84" s="274"/>
      <c r="Z84" s="274" t="s">
        <v>731</v>
      </c>
      <c r="AA84" s="277" t="s">
        <v>309</v>
      </c>
      <c r="AB84" s="274" t="s">
        <v>731</v>
      </c>
      <c r="AC84" s="274"/>
      <c r="AD84" s="274"/>
      <c r="AE84" s="274"/>
      <c r="AF84" s="274"/>
      <c r="AG84" s="274"/>
      <c r="AH84" s="274"/>
      <c r="AI84" s="274"/>
      <c r="AJ84" s="274"/>
      <c r="AK84" s="274"/>
      <c r="AL84" s="274"/>
      <c r="AM84" t="s">
        <v>1597</v>
      </c>
      <c r="AN84" s="447" t="s">
        <v>173</v>
      </c>
      <c r="AO84" s="447" t="s">
        <v>220</v>
      </c>
      <c r="AP84" s="501">
        <v>12749</v>
      </c>
      <c r="AU84" t="s">
        <v>306</v>
      </c>
      <c r="AV84" s="510">
        <v>3886.7052023121387</v>
      </c>
      <c r="AX84" t="str">
        <f>AY84&amp;COUNTIF($AY$3:AY84,AY84)</f>
        <v>Hertfordshire3</v>
      </c>
      <c r="AY84" s="513" t="s">
        <v>227</v>
      </c>
      <c r="AZ84" s="513" t="s">
        <v>298</v>
      </c>
      <c r="BA84" s="514">
        <v>9584.5526057971001</v>
      </c>
    </row>
    <row r="85" spans="1:53">
      <c r="A85" s="274"/>
      <c r="B85" s="274"/>
      <c r="C85" s="274"/>
      <c r="D85" s="274"/>
      <c r="E85" s="274"/>
      <c r="F85" s="274"/>
      <c r="G85" s="274"/>
      <c r="H85" s="274"/>
      <c r="I85" s="274"/>
      <c r="J85" s="274"/>
      <c r="K85" s="274"/>
      <c r="L85" s="274"/>
      <c r="M85" s="274"/>
      <c r="N85" s="274"/>
      <c r="O85" s="274" t="s">
        <v>732</v>
      </c>
      <c r="P85" s="277" t="s">
        <v>312</v>
      </c>
      <c r="Q85" s="275" t="str">
        <f t="shared" si="1"/>
        <v>E09000025</v>
      </c>
      <c r="R85" s="274"/>
      <c r="S85" s="274"/>
      <c r="T85" s="274"/>
      <c r="U85" s="274" t="s">
        <v>313</v>
      </c>
      <c r="V85" s="274" t="s">
        <v>314</v>
      </c>
      <c r="W85" s="276">
        <v>4580</v>
      </c>
      <c r="X85" s="274">
        <v>15288</v>
      </c>
      <c r="Y85" s="274"/>
      <c r="Z85" s="274" t="s">
        <v>732</v>
      </c>
      <c r="AA85" s="277" t="s">
        <v>312</v>
      </c>
      <c r="AB85" s="274" t="s">
        <v>732</v>
      </c>
      <c r="AC85" s="274"/>
      <c r="AD85" s="274"/>
      <c r="AE85" s="274"/>
      <c r="AF85" s="274"/>
      <c r="AG85" s="274"/>
      <c r="AH85" s="274"/>
      <c r="AI85" s="274"/>
      <c r="AJ85" s="274"/>
      <c r="AK85" s="274"/>
      <c r="AL85" s="274"/>
      <c r="AM85" t="s">
        <v>1563</v>
      </c>
      <c r="AN85" s="447"/>
      <c r="AO85" s="447" t="s">
        <v>1295</v>
      </c>
      <c r="AP85" s="501" t="s">
        <v>1295</v>
      </c>
      <c r="AU85" t="s">
        <v>309</v>
      </c>
      <c r="AV85" s="510">
        <v>5759.2485549132944</v>
      </c>
      <c r="AX85" t="str">
        <f>AY85&amp;COUNTIF($AY$3:AY85,AY85)</f>
        <v>Hillingdon1</v>
      </c>
      <c r="AY85" s="512" t="s">
        <v>231</v>
      </c>
      <c r="AZ85" s="512" t="s">
        <v>307</v>
      </c>
      <c r="BA85" s="514">
        <v>4771.7430000000004</v>
      </c>
    </row>
    <row r="86" spans="1:53">
      <c r="A86" s="274"/>
      <c r="B86" s="274"/>
      <c r="C86" s="274"/>
      <c r="D86" s="274"/>
      <c r="E86" s="274"/>
      <c r="F86" s="274"/>
      <c r="G86" s="274"/>
      <c r="H86" s="274"/>
      <c r="I86" s="274"/>
      <c r="J86" s="274"/>
      <c r="K86" s="274"/>
      <c r="L86" s="274"/>
      <c r="M86" s="274"/>
      <c r="N86" s="274"/>
      <c r="O86" s="274" t="s">
        <v>733</v>
      </c>
      <c r="P86" s="277" t="s">
        <v>315</v>
      </c>
      <c r="Q86" s="275" t="str">
        <f t="shared" si="1"/>
        <v>E10000020</v>
      </c>
      <c r="R86" s="274"/>
      <c r="S86" s="274"/>
      <c r="T86" s="274"/>
      <c r="U86" s="274" t="s">
        <v>316</v>
      </c>
      <c r="V86" s="274" t="s">
        <v>317</v>
      </c>
      <c r="W86" s="276">
        <v>6659</v>
      </c>
      <c r="X86" s="274">
        <v>19824</v>
      </c>
      <c r="Y86" s="274"/>
      <c r="Z86" s="274" t="s">
        <v>733</v>
      </c>
      <c r="AA86" s="277" t="s">
        <v>315</v>
      </c>
      <c r="AB86" s="274" t="s">
        <v>733</v>
      </c>
      <c r="AC86" s="274"/>
      <c r="AD86" s="274"/>
      <c r="AE86" s="274"/>
      <c r="AF86" s="274"/>
      <c r="AG86" s="274"/>
      <c r="AH86" s="274"/>
      <c r="AI86" s="274"/>
      <c r="AJ86" s="274"/>
      <c r="AK86" s="274"/>
      <c r="AL86" s="274"/>
      <c r="AM86" t="s">
        <v>1563</v>
      </c>
      <c r="AN86" s="447"/>
      <c r="AO86" s="447" t="s">
        <v>1295</v>
      </c>
      <c r="AP86" s="501" t="s">
        <v>1295</v>
      </c>
      <c r="AU86" t="s">
        <v>312</v>
      </c>
      <c r="AV86" s="510">
        <v>6080.9248554913293</v>
      </c>
      <c r="AX86" t="str">
        <f>AY86&amp;COUNTIF($AY$3:AY86,AY86)</f>
        <v>Hounslow1</v>
      </c>
      <c r="AY86" s="512" t="s">
        <v>234</v>
      </c>
      <c r="AZ86" s="512" t="s">
        <v>313</v>
      </c>
      <c r="BA86" s="514">
        <v>4580.3159999999998</v>
      </c>
    </row>
    <row r="87" spans="1:53">
      <c r="A87" s="274"/>
      <c r="B87" s="274"/>
      <c r="C87" s="274"/>
      <c r="D87" s="274"/>
      <c r="E87" s="274"/>
      <c r="F87" s="274"/>
      <c r="G87" s="274"/>
      <c r="H87" s="274"/>
      <c r="I87" s="274"/>
      <c r="J87" s="274"/>
      <c r="K87" s="274"/>
      <c r="L87" s="274"/>
      <c r="M87" s="274"/>
      <c r="N87" s="274"/>
      <c r="O87" s="274" t="s">
        <v>734</v>
      </c>
      <c r="P87" s="277" t="s">
        <v>318</v>
      </c>
      <c r="Q87" s="275" t="str">
        <f t="shared" si="1"/>
        <v>E06000012</v>
      </c>
      <c r="R87" s="274"/>
      <c r="S87" s="274"/>
      <c r="T87" s="274"/>
      <c r="U87" s="274" t="s">
        <v>319</v>
      </c>
      <c r="V87" s="274" t="s">
        <v>320</v>
      </c>
      <c r="W87" s="276">
        <v>8067</v>
      </c>
      <c r="X87" s="274">
        <v>22885</v>
      </c>
      <c r="Y87" s="274"/>
      <c r="Z87" s="274" t="s">
        <v>734</v>
      </c>
      <c r="AA87" s="277" t="s">
        <v>318</v>
      </c>
      <c r="AB87" s="274" t="s">
        <v>734</v>
      </c>
      <c r="AC87" s="274"/>
      <c r="AD87" s="274"/>
      <c r="AE87" s="274"/>
      <c r="AF87" s="274"/>
      <c r="AG87" s="274"/>
      <c r="AH87" s="274"/>
      <c r="AI87" s="274"/>
      <c r="AJ87" s="274"/>
      <c r="AK87" s="274"/>
      <c r="AL87" s="274"/>
      <c r="AM87" t="s">
        <v>1598</v>
      </c>
      <c r="AN87" s="120" t="s">
        <v>176</v>
      </c>
      <c r="AO87" s="120" t="s">
        <v>1204</v>
      </c>
      <c r="AP87" s="502">
        <v>18518</v>
      </c>
      <c r="AU87" t="s">
        <v>315</v>
      </c>
      <c r="AV87" s="510">
        <v>16295.086705202311</v>
      </c>
      <c r="AX87" t="str">
        <f>AY87&amp;COUNTIF($AY$3:AY87,AY87)</f>
        <v>Isle of Wight1</v>
      </c>
      <c r="AY87" s="512" t="s">
        <v>238</v>
      </c>
      <c r="AZ87" s="512" t="s">
        <v>322</v>
      </c>
      <c r="BA87" s="514">
        <v>3512.7370000000001</v>
      </c>
    </row>
    <row r="88" spans="1:53">
      <c r="A88" s="274"/>
      <c r="B88" s="274"/>
      <c r="C88" s="274"/>
      <c r="D88" s="274"/>
      <c r="E88" s="274"/>
      <c r="F88" s="274"/>
      <c r="G88" s="274"/>
      <c r="H88" s="274"/>
      <c r="I88" s="274"/>
      <c r="J88" s="274"/>
      <c r="K88" s="274"/>
      <c r="L88" s="274"/>
      <c r="M88" s="274"/>
      <c r="N88" s="274"/>
      <c r="O88" s="274" t="s">
        <v>735</v>
      </c>
      <c r="P88" s="277" t="s">
        <v>321</v>
      </c>
      <c r="Q88" s="275" t="str">
        <f t="shared" si="1"/>
        <v>E06000013</v>
      </c>
      <c r="R88" s="274"/>
      <c r="S88" s="274"/>
      <c r="T88" s="274"/>
      <c r="U88" s="274" t="s">
        <v>322</v>
      </c>
      <c r="V88" s="274" t="s">
        <v>323</v>
      </c>
      <c r="W88" s="276">
        <v>3513</v>
      </c>
      <c r="X88" s="274">
        <v>10803</v>
      </c>
      <c r="Y88" s="274"/>
      <c r="Z88" s="274" t="s">
        <v>735</v>
      </c>
      <c r="AA88" s="277" t="s">
        <v>321</v>
      </c>
      <c r="AB88" s="274" t="s">
        <v>735</v>
      </c>
      <c r="AC88" s="274"/>
      <c r="AD88" s="274"/>
      <c r="AE88" s="274"/>
      <c r="AF88" s="274"/>
      <c r="AG88" s="274"/>
      <c r="AH88" s="274"/>
      <c r="AI88" s="274"/>
      <c r="AJ88" s="274"/>
      <c r="AK88" s="274"/>
      <c r="AL88" s="274"/>
      <c r="AM88" t="s">
        <v>1599</v>
      </c>
      <c r="AN88" s="447" t="s">
        <v>180</v>
      </c>
      <c r="AO88" s="447" t="s">
        <v>607</v>
      </c>
      <c r="AP88" s="501">
        <v>17435</v>
      </c>
      <c r="AU88" t="s">
        <v>318</v>
      </c>
      <c r="AV88" s="510">
        <v>3250.2890173410406</v>
      </c>
      <c r="AX88" t="str">
        <f>AY88&amp;COUNTIF($AY$3:AY88,AY88)</f>
        <v>Isles of Scilly1</v>
      </c>
      <c r="AY88" s="512" t="s">
        <v>241</v>
      </c>
      <c r="AZ88" s="512" t="s">
        <v>328</v>
      </c>
      <c r="BA88" s="514">
        <v>58.029000000000003</v>
      </c>
    </row>
    <row r="89" spans="1:53">
      <c r="A89" s="274"/>
      <c r="B89" s="274"/>
      <c r="C89" s="274"/>
      <c r="D89" s="274"/>
      <c r="E89" s="274"/>
      <c r="F89" s="274"/>
      <c r="G89" s="274"/>
      <c r="H89" s="274"/>
      <c r="I89" s="274"/>
      <c r="J89" s="274"/>
      <c r="K89" s="274"/>
      <c r="L89" s="274"/>
      <c r="M89" s="274"/>
      <c r="N89" s="274"/>
      <c r="O89" s="274" t="s">
        <v>736</v>
      </c>
      <c r="P89" s="277" t="s">
        <v>324</v>
      </c>
      <c r="Q89" s="275" t="str">
        <f t="shared" si="1"/>
        <v>E06000024</v>
      </c>
      <c r="R89" s="274"/>
      <c r="S89" s="274"/>
      <c r="T89" s="274"/>
      <c r="U89" s="274" t="s">
        <v>325</v>
      </c>
      <c r="V89" s="274" t="s">
        <v>326</v>
      </c>
      <c r="W89" s="276">
        <v>5894</v>
      </c>
      <c r="X89" s="274">
        <v>16981</v>
      </c>
      <c r="Y89" s="274"/>
      <c r="Z89" s="274" t="s">
        <v>736</v>
      </c>
      <c r="AA89" s="277" t="s">
        <v>324</v>
      </c>
      <c r="AB89" s="274" t="s">
        <v>736</v>
      </c>
      <c r="AC89" s="274"/>
      <c r="AD89" s="274"/>
      <c r="AE89" s="274"/>
      <c r="AF89" s="274"/>
      <c r="AG89" s="274"/>
      <c r="AH89" s="274"/>
      <c r="AI89" s="274"/>
      <c r="AJ89" s="274"/>
      <c r="AK89" s="274"/>
      <c r="AL89" s="274"/>
      <c r="AM89" t="s">
        <v>1600</v>
      </c>
      <c r="AN89" s="447" t="s">
        <v>180</v>
      </c>
      <c r="AO89" s="447" t="s">
        <v>412</v>
      </c>
      <c r="AP89" s="501">
        <v>20987</v>
      </c>
      <c r="AU89" t="s">
        <v>321</v>
      </c>
      <c r="AV89" s="510">
        <v>3180.9248554913293</v>
      </c>
      <c r="AX89" t="str">
        <f>AY89&amp;COUNTIF($AY$3:AY89,AY89)</f>
        <v>Islington1</v>
      </c>
      <c r="AY89" s="512" t="s">
        <v>245</v>
      </c>
      <c r="AZ89" s="512" t="s">
        <v>325</v>
      </c>
      <c r="BA89" s="514">
        <v>5893.6580000000004</v>
      </c>
    </row>
    <row r="90" spans="1:53">
      <c r="A90" s="274"/>
      <c r="B90" s="274"/>
      <c r="C90" s="274"/>
      <c r="D90" s="274"/>
      <c r="E90" s="274"/>
      <c r="F90" s="274"/>
      <c r="G90" s="274"/>
      <c r="H90" s="274"/>
      <c r="I90" s="274"/>
      <c r="J90" s="274"/>
      <c r="K90" s="274"/>
      <c r="L90" s="274"/>
      <c r="M90" s="274"/>
      <c r="N90" s="274"/>
      <c r="O90" s="274" t="s">
        <v>737</v>
      </c>
      <c r="P90" s="277" t="s">
        <v>327</v>
      </c>
      <c r="Q90" s="275" t="str">
        <f t="shared" si="1"/>
        <v>E08000022</v>
      </c>
      <c r="R90" s="274"/>
      <c r="S90" s="274"/>
      <c r="T90" s="274"/>
      <c r="U90" s="274" t="s">
        <v>328</v>
      </c>
      <c r="V90" s="274" t="s">
        <v>329</v>
      </c>
      <c r="W90" s="276">
        <v>12861</v>
      </c>
      <c r="X90" s="274">
        <v>37970</v>
      </c>
      <c r="Y90" s="274"/>
      <c r="Z90" s="274" t="s">
        <v>737</v>
      </c>
      <c r="AA90" s="277" t="s">
        <v>327</v>
      </c>
      <c r="AB90" s="274" t="s">
        <v>737</v>
      </c>
      <c r="AC90" s="274"/>
      <c r="AD90" s="274"/>
      <c r="AE90" s="274"/>
      <c r="AF90" s="274"/>
      <c r="AG90" s="274"/>
      <c r="AH90" s="274"/>
      <c r="AI90" s="274"/>
      <c r="AJ90" s="274"/>
      <c r="AK90" s="274"/>
      <c r="AL90" s="274"/>
      <c r="AM90" t="s">
        <v>1601</v>
      </c>
      <c r="AN90" s="447" t="s">
        <v>180</v>
      </c>
      <c r="AO90" s="447" t="s">
        <v>379</v>
      </c>
      <c r="AP90" s="501">
        <v>21651</v>
      </c>
      <c r="AU90" t="s">
        <v>324</v>
      </c>
      <c r="AV90" s="510">
        <v>3821.6763005780349</v>
      </c>
      <c r="AX90" t="str">
        <f>AY90&amp;COUNTIF($AY$3:AY90,AY90)</f>
        <v>Kensington and Chelsea1</v>
      </c>
      <c r="AY90" s="512" t="s">
        <v>248</v>
      </c>
      <c r="AZ90" s="512" t="s">
        <v>617</v>
      </c>
      <c r="BA90" s="514">
        <v>3972.86</v>
      </c>
    </row>
    <row r="91" spans="1:53">
      <c r="A91" s="274"/>
      <c r="B91" s="274"/>
      <c r="C91" s="274"/>
      <c r="D91" s="274"/>
      <c r="E91" s="274"/>
      <c r="F91" s="274"/>
      <c r="G91" s="274"/>
      <c r="H91" s="274"/>
      <c r="I91" s="274"/>
      <c r="J91" s="274"/>
      <c r="K91" s="274"/>
      <c r="L91" s="274"/>
      <c r="M91" s="274"/>
      <c r="N91" s="274"/>
      <c r="O91" s="274" t="s">
        <v>738</v>
      </c>
      <c r="P91" s="277" t="s">
        <v>330</v>
      </c>
      <c r="Q91" s="275" t="str">
        <f t="shared" si="1"/>
        <v>E10000023</v>
      </c>
      <c r="R91" s="274"/>
      <c r="S91" s="274"/>
      <c r="T91" s="274"/>
      <c r="U91" s="274" t="s">
        <v>331</v>
      </c>
      <c r="V91" s="274" t="s">
        <v>332</v>
      </c>
      <c r="W91" s="276">
        <v>2627</v>
      </c>
      <c r="X91" s="274">
        <v>9882</v>
      </c>
      <c r="Y91" s="274"/>
      <c r="Z91" s="274" t="s">
        <v>738</v>
      </c>
      <c r="AA91" s="277" t="s">
        <v>330</v>
      </c>
      <c r="AB91" s="274" t="s">
        <v>738</v>
      </c>
      <c r="AC91" s="274"/>
      <c r="AD91" s="274"/>
      <c r="AE91" s="274"/>
      <c r="AF91" s="274"/>
      <c r="AG91" s="274"/>
      <c r="AH91" s="274"/>
      <c r="AI91" s="274"/>
      <c r="AJ91" s="274"/>
      <c r="AK91" s="274"/>
      <c r="AL91" s="274"/>
      <c r="AM91" t="s">
        <v>1602</v>
      </c>
      <c r="AN91" s="447" t="s">
        <v>180</v>
      </c>
      <c r="AO91" s="447" t="s">
        <v>1216</v>
      </c>
      <c r="AP91" s="501">
        <v>10833</v>
      </c>
      <c r="AU91" t="s">
        <v>327</v>
      </c>
      <c r="AV91" s="510">
        <v>4402.6011560693642</v>
      </c>
      <c r="AX91" t="str">
        <f>AY91&amp;COUNTIF($AY$3:AY91,AY91)</f>
        <v>Kent1</v>
      </c>
      <c r="AY91" s="513" t="s">
        <v>252</v>
      </c>
      <c r="AZ91" s="513" t="s">
        <v>11</v>
      </c>
      <c r="BA91" s="514">
        <v>2443.2208935698445</v>
      </c>
    </row>
    <row r="92" spans="1:53">
      <c r="A92" s="274"/>
      <c r="B92" s="274"/>
      <c r="C92" s="274"/>
      <c r="D92" s="274"/>
      <c r="E92" s="274"/>
      <c r="F92" s="274"/>
      <c r="G92" s="274"/>
      <c r="H92" s="274"/>
      <c r="I92" s="274"/>
      <c r="J92" s="274"/>
      <c r="K92" s="274"/>
      <c r="L92" s="274"/>
      <c r="M92" s="274"/>
      <c r="N92" s="274"/>
      <c r="O92" s="274" t="s">
        <v>739</v>
      </c>
      <c r="P92" s="277" t="s">
        <v>333</v>
      </c>
      <c r="Q92" s="275" t="str">
        <f t="shared" si="1"/>
        <v>E10000021</v>
      </c>
      <c r="R92" s="274"/>
      <c r="S92" s="274"/>
      <c r="T92" s="274"/>
      <c r="U92" s="274" t="s">
        <v>334</v>
      </c>
      <c r="V92" s="274" t="s">
        <v>335</v>
      </c>
      <c r="W92" s="276">
        <v>4478</v>
      </c>
      <c r="X92" s="274">
        <v>13420</v>
      </c>
      <c r="Y92" s="274"/>
      <c r="Z92" s="274" t="s">
        <v>739</v>
      </c>
      <c r="AA92" s="277" t="s">
        <v>333</v>
      </c>
      <c r="AB92" s="274" t="s">
        <v>739</v>
      </c>
      <c r="AC92" s="274"/>
      <c r="AD92" s="274"/>
      <c r="AE92" s="274"/>
      <c r="AF92" s="274"/>
      <c r="AG92" s="274"/>
      <c r="AH92" s="274"/>
      <c r="AI92" s="274"/>
      <c r="AJ92" s="274"/>
      <c r="AK92" s="274"/>
      <c r="AL92" s="274"/>
      <c r="AM92" t="s">
        <v>1603</v>
      </c>
      <c r="AN92" s="447" t="s">
        <v>180</v>
      </c>
      <c r="AO92" s="447" t="s">
        <v>40</v>
      </c>
      <c r="AP92" s="501">
        <v>16041</v>
      </c>
      <c r="AU92" t="s">
        <v>330</v>
      </c>
      <c r="AV92" s="510">
        <v>10523.699421965317</v>
      </c>
      <c r="AX92" t="str">
        <f>AY92&amp;COUNTIF($AY$3:AY92,AY92)</f>
        <v>Kent2</v>
      </c>
      <c r="AY92" s="513" t="s">
        <v>252</v>
      </c>
      <c r="AZ92" s="513" t="s">
        <v>125</v>
      </c>
      <c r="BA92" s="514">
        <v>3727.4780299334811</v>
      </c>
    </row>
    <row r="93" spans="1:53">
      <c r="A93" s="274"/>
      <c r="B93" s="274"/>
      <c r="C93" s="274"/>
      <c r="D93" s="274"/>
      <c r="E93" s="274"/>
      <c r="F93" s="274"/>
      <c r="G93" s="274"/>
      <c r="H93" s="274"/>
      <c r="I93" s="274"/>
      <c r="J93" s="274"/>
      <c r="K93" s="274"/>
      <c r="L93" s="274"/>
      <c r="M93" s="274"/>
      <c r="N93" s="274"/>
      <c r="O93" s="274" t="s">
        <v>740</v>
      </c>
      <c r="P93" s="277" t="s">
        <v>336</v>
      </c>
      <c r="Q93" s="275" t="str">
        <f t="shared" si="1"/>
        <v>E06000048</v>
      </c>
      <c r="R93" s="274"/>
      <c r="S93" s="274"/>
      <c r="T93" s="274"/>
      <c r="U93" s="274" t="s">
        <v>337</v>
      </c>
      <c r="V93" s="274" t="s">
        <v>338</v>
      </c>
      <c r="W93" s="276">
        <v>6916</v>
      </c>
      <c r="X93" s="274">
        <v>22007</v>
      </c>
      <c r="Y93" s="274"/>
      <c r="Z93" s="274" t="s">
        <v>740</v>
      </c>
      <c r="AA93" s="277" t="s">
        <v>336</v>
      </c>
      <c r="AB93" s="274" t="s">
        <v>740</v>
      </c>
      <c r="AC93" s="274"/>
      <c r="AD93" s="274"/>
      <c r="AE93" s="274"/>
      <c r="AF93" s="274"/>
      <c r="AG93" s="274"/>
      <c r="AH93" s="274"/>
      <c r="AI93" s="274"/>
      <c r="AJ93" s="274"/>
      <c r="AK93" s="274"/>
      <c r="AL93" s="274"/>
      <c r="AM93" t="s">
        <v>1563</v>
      </c>
      <c r="AN93" s="447"/>
      <c r="AO93" s="447" t="s">
        <v>1295</v>
      </c>
      <c r="AP93" s="501" t="s">
        <v>1295</v>
      </c>
      <c r="AU93" t="s">
        <v>333</v>
      </c>
      <c r="AV93" s="510">
        <v>11734.971098265896</v>
      </c>
      <c r="AX93" t="str">
        <f>AY93&amp;COUNTIF($AY$3:AY93,AY93)</f>
        <v>Kent3</v>
      </c>
      <c r="AY93" s="513" t="s">
        <v>252</v>
      </c>
      <c r="AZ93" s="513" t="s">
        <v>177</v>
      </c>
      <c r="BA93" s="514">
        <v>4792.4717527716184</v>
      </c>
    </row>
    <row r="94" spans="1:53">
      <c r="A94" s="274"/>
      <c r="B94" s="274"/>
      <c r="C94" s="274"/>
      <c r="D94" s="274"/>
      <c r="E94" s="274"/>
      <c r="F94" s="274"/>
      <c r="G94" s="274"/>
      <c r="H94" s="274"/>
      <c r="I94" s="274"/>
      <c r="J94" s="274"/>
      <c r="K94" s="274"/>
      <c r="L94" s="274"/>
      <c r="M94" s="274"/>
      <c r="N94" s="274"/>
      <c r="O94" s="274" t="s">
        <v>741</v>
      </c>
      <c r="P94" s="277" t="s">
        <v>339</v>
      </c>
      <c r="Q94" s="275" t="str">
        <f t="shared" si="1"/>
        <v>E06000018</v>
      </c>
      <c r="R94" s="274"/>
      <c r="S94" s="274"/>
      <c r="T94" s="274"/>
      <c r="U94" s="274" t="s">
        <v>340</v>
      </c>
      <c r="V94" s="274" t="s">
        <v>341</v>
      </c>
      <c r="W94" s="276">
        <v>3312</v>
      </c>
      <c r="X94" s="274">
        <v>10462</v>
      </c>
      <c r="Y94" s="274"/>
      <c r="Z94" s="274" t="s">
        <v>741</v>
      </c>
      <c r="AA94" s="277" t="s">
        <v>339</v>
      </c>
      <c r="AB94" s="274" t="s">
        <v>741</v>
      </c>
      <c r="AC94" s="274"/>
      <c r="AD94" s="274"/>
      <c r="AE94" s="274"/>
      <c r="AF94" s="274"/>
      <c r="AG94" s="274"/>
      <c r="AH94" s="274"/>
      <c r="AI94" s="274"/>
      <c r="AJ94" s="274"/>
      <c r="AK94" s="274"/>
      <c r="AL94" s="274"/>
      <c r="AM94" t="s">
        <v>1563</v>
      </c>
      <c r="AN94" s="447"/>
      <c r="AO94" s="447" t="s">
        <v>1295</v>
      </c>
      <c r="AP94" s="501" t="s">
        <v>1295</v>
      </c>
      <c r="AU94" t="s">
        <v>336</v>
      </c>
      <c r="AV94" s="510">
        <v>6435.5491329479764</v>
      </c>
      <c r="AX94" t="str">
        <f>AY94&amp;COUNTIF($AY$3:AY94,AY94)</f>
        <v>Kent4</v>
      </c>
      <c r="AY94" s="513" t="s">
        <v>252</v>
      </c>
      <c r="AZ94" s="513" t="s">
        <v>525</v>
      </c>
      <c r="BA94" s="514">
        <v>3884.0947538802661</v>
      </c>
    </row>
    <row r="95" spans="1:53">
      <c r="A95" s="274"/>
      <c r="B95" s="274"/>
      <c r="C95" s="274"/>
      <c r="D95" s="274"/>
      <c r="E95" s="274"/>
      <c r="F95" s="274"/>
      <c r="G95" s="274"/>
      <c r="H95" s="274"/>
      <c r="I95" s="274"/>
      <c r="J95" s="274"/>
      <c r="K95" s="274"/>
      <c r="L95" s="274"/>
      <c r="M95" s="274"/>
      <c r="N95" s="274"/>
      <c r="O95" s="274" t="s">
        <v>742</v>
      </c>
      <c r="P95" s="277" t="s">
        <v>342</v>
      </c>
      <c r="Q95" s="275" t="str">
        <f t="shared" si="1"/>
        <v>E10000024</v>
      </c>
      <c r="R95" s="274"/>
      <c r="S95" s="274"/>
      <c r="T95" s="274"/>
      <c r="U95" s="274" t="s">
        <v>343</v>
      </c>
      <c r="V95" s="274" t="s">
        <v>344</v>
      </c>
      <c r="W95" s="276">
        <v>4157</v>
      </c>
      <c r="X95" s="274">
        <v>12665</v>
      </c>
      <c r="Y95" s="274"/>
      <c r="Z95" s="274" t="s">
        <v>742</v>
      </c>
      <c r="AA95" s="277" t="s">
        <v>342</v>
      </c>
      <c r="AB95" s="274" t="s">
        <v>742</v>
      </c>
      <c r="AC95" s="274"/>
      <c r="AD95" s="274"/>
      <c r="AE95" s="274"/>
      <c r="AF95" s="274"/>
      <c r="AG95" s="274"/>
      <c r="AH95" s="274"/>
      <c r="AI95" s="274"/>
      <c r="AJ95" s="274"/>
      <c r="AK95" s="274"/>
      <c r="AL95" s="274"/>
      <c r="AM95" t="s">
        <v>1563</v>
      </c>
      <c r="AN95" s="447"/>
      <c r="AO95" s="447" t="s">
        <v>1295</v>
      </c>
      <c r="AP95" s="501" t="s">
        <v>1295</v>
      </c>
      <c r="AU95" t="s">
        <v>339</v>
      </c>
      <c r="AV95" s="510">
        <v>6191.0404624277453</v>
      </c>
      <c r="AX95" t="str">
        <f>AY95&amp;COUNTIF($AY$3:AY95,AY95)</f>
        <v>Kent5</v>
      </c>
      <c r="AY95" s="513" t="s">
        <v>252</v>
      </c>
      <c r="AZ95" s="513" t="s">
        <v>573</v>
      </c>
      <c r="BA95" s="514">
        <v>2067.3407560975606</v>
      </c>
    </row>
    <row r="96" spans="1:53">
      <c r="A96" s="274"/>
      <c r="B96" s="274"/>
      <c r="C96" s="274"/>
      <c r="D96" s="274"/>
      <c r="E96" s="274"/>
      <c r="F96" s="274"/>
      <c r="G96" s="274"/>
      <c r="H96" s="274"/>
      <c r="I96" s="274"/>
      <c r="J96" s="274"/>
      <c r="K96" s="274"/>
      <c r="L96" s="274"/>
      <c r="M96" s="274"/>
      <c r="N96" s="274"/>
      <c r="O96" s="274" t="s">
        <v>743</v>
      </c>
      <c r="P96" s="277" t="s">
        <v>345</v>
      </c>
      <c r="Q96" s="275" t="str">
        <f t="shared" si="1"/>
        <v>E08000004</v>
      </c>
      <c r="R96" s="274"/>
      <c r="S96" s="274"/>
      <c r="T96" s="274"/>
      <c r="U96" s="274" t="s">
        <v>346</v>
      </c>
      <c r="V96" s="274" t="s">
        <v>347</v>
      </c>
      <c r="W96" s="276">
        <v>4880</v>
      </c>
      <c r="X96" s="274">
        <v>17351</v>
      </c>
      <c r="Y96" s="274"/>
      <c r="Z96" s="274" t="s">
        <v>743</v>
      </c>
      <c r="AA96" s="277" t="s">
        <v>345</v>
      </c>
      <c r="AB96" s="274" t="s">
        <v>743</v>
      </c>
      <c r="AC96" s="274"/>
      <c r="AD96" s="274"/>
      <c r="AE96" s="274"/>
      <c r="AF96" s="274"/>
      <c r="AG96" s="274"/>
      <c r="AH96" s="274"/>
      <c r="AI96" s="274"/>
      <c r="AJ96" s="274"/>
      <c r="AK96" s="274"/>
      <c r="AL96" s="274"/>
      <c r="AM96" t="s">
        <v>1563</v>
      </c>
      <c r="AN96" s="447"/>
      <c r="AO96" s="447" t="s">
        <v>1295</v>
      </c>
      <c r="AP96" s="501" t="s">
        <v>1295</v>
      </c>
      <c r="AU96" t="s">
        <v>342</v>
      </c>
      <c r="AV96" s="510">
        <v>14374.855491329481</v>
      </c>
      <c r="AX96" t="str">
        <f>AY96&amp;COUNTIF($AY$3:AY96,AY96)</f>
        <v>Kent6</v>
      </c>
      <c r="AY96" s="513" t="s">
        <v>252</v>
      </c>
      <c r="AZ96" s="513" t="s">
        <v>581</v>
      </c>
      <c r="BA96" s="514">
        <v>2631.1609623059867</v>
      </c>
    </row>
    <row r="97" spans="1:53">
      <c r="A97" s="274"/>
      <c r="B97" s="274"/>
      <c r="C97" s="274"/>
      <c r="D97" s="274"/>
      <c r="E97" s="274"/>
      <c r="F97" s="274"/>
      <c r="G97" s="274"/>
      <c r="H97" s="274"/>
      <c r="I97" s="274"/>
      <c r="J97" s="274"/>
      <c r="K97" s="274"/>
      <c r="L97" s="274"/>
      <c r="M97" s="274"/>
      <c r="N97" s="274"/>
      <c r="O97" s="274" t="s">
        <v>744</v>
      </c>
      <c r="P97" s="277" t="s">
        <v>348</v>
      </c>
      <c r="Q97" s="275" t="str">
        <f t="shared" si="1"/>
        <v>E10000025</v>
      </c>
      <c r="R97" s="274"/>
      <c r="S97" s="274"/>
      <c r="T97" s="274"/>
      <c r="U97" s="274" t="s">
        <v>349</v>
      </c>
      <c r="V97" s="274" t="s">
        <v>350</v>
      </c>
      <c r="W97" s="276">
        <v>6139</v>
      </c>
      <c r="X97" s="274">
        <v>20105</v>
      </c>
      <c r="Y97" s="274"/>
      <c r="Z97" s="274" t="s">
        <v>744</v>
      </c>
      <c r="AA97" s="277" t="s">
        <v>348</v>
      </c>
      <c r="AB97" s="274" t="s">
        <v>744</v>
      </c>
      <c r="AC97" s="274"/>
      <c r="AD97" s="274"/>
      <c r="AE97" s="274"/>
      <c r="AF97" s="274"/>
      <c r="AG97" s="274"/>
      <c r="AH97" s="274"/>
      <c r="AI97" s="274"/>
      <c r="AJ97" s="274"/>
      <c r="AK97" s="274"/>
      <c r="AL97" s="274"/>
      <c r="AM97" t="s">
        <v>1563</v>
      </c>
      <c r="AN97" s="447"/>
      <c r="AO97" s="447" t="s">
        <v>1295</v>
      </c>
      <c r="AP97" s="501" t="s">
        <v>1295</v>
      </c>
      <c r="AU97" t="s">
        <v>345</v>
      </c>
      <c r="AV97" s="510">
        <v>4634.6820809248557</v>
      </c>
      <c r="AX97" t="str">
        <f>AY97&amp;COUNTIF($AY$3:AY97,AY97)</f>
        <v>Kent7</v>
      </c>
      <c r="AY97" s="513" t="s">
        <v>252</v>
      </c>
      <c r="AZ97" s="513" t="s">
        <v>611</v>
      </c>
      <c r="BA97" s="514">
        <v>8707.8898514412413</v>
      </c>
    </row>
    <row r="98" spans="1:53">
      <c r="A98" s="274"/>
      <c r="B98" s="274"/>
      <c r="C98" s="274"/>
      <c r="D98" s="274"/>
      <c r="E98" s="274"/>
      <c r="F98" s="274"/>
      <c r="G98" s="274"/>
      <c r="H98" s="274"/>
      <c r="I98" s="274"/>
      <c r="J98" s="274"/>
      <c r="K98" s="274"/>
      <c r="L98" s="274"/>
      <c r="M98" s="274"/>
      <c r="N98" s="274"/>
      <c r="O98" s="274" t="s">
        <v>745</v>
      </c>
      <c r="P98" s="277" t="s">
        <v>351</v>
      </c>
      <c r="Q98" s="275" t="str">
        <f t="shared" si="1"/>
        <v>E06000031</v>
      </c>
      <c r="R98" s="274"/>
      <c r="S98" s="274"/>
      <c r="T98" s="274"/>
      <c r="U98" s="274" t="s">
        <v>352</v>
      </c>
      <c r="V98" s="274" t="s">
        <v>353</v>
      </c>
      <c r="W98" s="276">
        <v>7213</v>
      </c>
      <c r="X98" s="274">
        <v>21384</v>
      </c>
      <c r="Y98" s="274"/>
      <c r="Z98" s="274" t="s">
        <v>745</v>
      </c>
      <c r="AA98" s="277" t="s">
        <v>351</v>
      </c>
      <c r="AB98" s="274" t="s">
        <v>745</v>
      </c>
      <c r="AC98" s="274"/>
      <c r="AD98" s="274"/>
      <c r="AE98" s="274"/>
      <c r="AF98" s="274"/>
      <c r="AG98" s="274"/>
      <c r="AH98" s="274"/>
      <c r="AI98" s="274"/>
      <c r="AJ98" s="274"/>
      <c r="AK98" s="274"/>
      <c r="AL98" s="274"/>
      <c r="AM98" t="s">
        <v>1563</v>
      </c>
      <c r="AN98" s="447"/>
      <c r="AO98" s="447" t="s">
        <v>1295</v>
      </c>
      <c r="AP98" s="501" t="s">
        <v>1295</v>
      </c>
      <c r="AU98" t="s">
        <v>348</v>
      </c>
      <c r="AV98" s="510">
        <v>9796.8208092485547</v>
      </c>
      <c r="AX98" t="str">
        <f>AY98&amp;COUNTIF($AY$3:AY98,AY98)</f>
        <v>Kingston upon Hull, City of1</v>
      </c>
      <c r="AY98" s="512" t="s">
        <v>255</v>
      </c>
      <c r="AZ98" s="512" t="s">
        <v>316</v>
      </c>
      <c r="BA98" s="514">
        <v>6659.3220000000001</v>
      </c>
    </row>
    <row r="99" spans="1:53">
      <c r="A99" s="274"/>
      <c r="B99" s="274"/>
      <c r="C99" s="274"/>
      <c r="D99" s="274"/>
      <c r="E99" s="274"/>
      <c r="F99" s="274"/>
      <c r="G99" s="274"/>
      <c r="H99" s="274"/>
      <c r="I99" s="274"/>
      <c r="J99" s="274"/>
      <c r="K99" s="274"/>
      <c r="L99" s="274"/>
      <c r="M99" s="274"/>
      <c r="N99" s="274"/>
      <c r="O99" s="274" t="s">
        <v>746</v>
      </c>
      <c r="P99" s="277" t="s">
        <v>354</v>
      </c>
      <c r="Q99" s="275" t="str">
        <f t="shared" si="1"/>
        <v>E06000026</v>
      </c>
      <c r="R99" s="274"/>
      <c r="S99" s="274"/>
      <c r="T99" s="274"/>
      <c r="U99" s="274" t="s">
        <v>355</v>
      </c>
      <c r="V99" s="274" t="s">
        <v>356</v>
      </c>
      <c r="W99" s="276">
        <v>6269</v>
      </c>
      <c r="X99" s="274">
        <v>19740</v>
      </c>
      <c r="Y99" s="274"/>
      <c r="Z99" s="274" t="s">
        <v>746</v>
      </c>
      <c r="AA99" s="277" t="s">
        <v>354</v>
      </c>
      <c r="AB99" s="274" t="s">
        <v>746</v>
      </c>
      <c r="AC99" s="274"/>
      <c r="AD99" s="274"/>
      <c r="AE99" s="274"/>
      <c r="AF99" s="274"/>
      <c r="AG99" s="274"/>
      <c r="AH99" s="274"/>
      <c r="AI99" s="274"/>
      <c r="AJ99" s="274"/>
      <c r="AK99" s="274"/>
      <c r="AL99" s="274"/>
      <c r="AM99" t="s">
        <v>1563</v>
      </c>
      <c r="AN99" s="447"/>
      <c r="AO99" s="447" t="s">
        <v>1295</v>
      </c>
      <c r="AP99" s="501" t="s">
        <v>1295</v>
      </c>
      <c r="AU99" t="s">
        <v>351</v>
      </c>
      <c r="AV99" s="510">
        <v>3105.7803468208094</v>
      </c>
      <c r="AX99" t="str">
        <f>AY99&amp;COUNTIF($AY$3:AY99,AY99)</f>
        <v>Kingston upon Thames1</v>
      </c>
      <c r="AY99" s="512" t="s">
        <v>258</v>
      </c>
      <c r="AZ99" s="512" t="s">
        <v>331</v>
      </c>
      <c r="BA99" s="514">
        <v>2627.07</v>
      </c>
    </row>
    <row r="100" spans="1:53">
      <c r="A100" s="274"/>
      <c r="B100" s="274"/>
      <c r="C100" s="274"/>
      <c r="D100" s="274"/>
      <c r="E100" s="274"/>
      <c r="F100" s="274"/>
      <c r="G100" s="274"/>
      <c r="H100" s="274"/>
      <c r="I100" s="274"/>
      <c r="J100" s="274"/>
      <c r="K100" s="274"/>
      <c r="L100" s="274"/>
      <c r="M100" s="274"/>
      <c r="N100" s="274"/>
      <c r="O100" s="274" t="s">
        <v>747</v>
      </c>
      <c r="P100" s="277" t="s">
        <v>357</v>
      </c>
      <c r="Q100" s="275" t="str">
        <f t="shared" si="1"/>
        <v>E06000044</v>
      </c>
      <c r="R100" s="274"/>
      <c r="S100" s="274"/>
      <c r="T100" s="274"/>
      <c r="U100" s="274" t="s">
        <v>358</v>
      </c>
      <c r="V100" s="274" t="s">
        <v>359</v>
      </c>
      <c r="W100" s="276">
        <v>4815</v>
      </c>
      <c r="X100" s="274">
        <v>16187</v>
      </c>
      <c r="Y100" s="274"/>
      <c r="Z100" s="274" t="s">
        <v>959</v>
      </c>
      <c r="AA100" s="277" t="s">
        <v>960</v>
      </c>
      <c r="AB100" s="274" t="s">
        <v>959</v>
      </c>
      <c r="AC100" s="274"/>
      <c r="AD100" s="274"/>
      <c r="AE100" s="274"/>
      <c r="AF100" s="274"/>
      <c r="AG100" s="274"/>
      <c r="AH100" s="274"/>
      <c r="AI100" s="274"/>
      <c r="AJ100" s="274"/>
      <c r="AK100" s="274"/>
      <c r="AL100" s="274"/>
      <c r="AM100" t="s">
        <v>1604</v>
      </c>
      <c r="AN100" s="120" t="s">
        <v>184</v>
      </c>
      <c r="AO100" s="120" t="s">
        <v>242</v>
      </c>
      <c r="AP100" s="502">
        <v>15678</v>
      </c>
      <c r="AU100" t="s">
        <v>354</v>
      </c>
      <c r="AV100" s="510">
        <v>5130.0578034682085</v>
      </c>
      <c r="AX100" t="str">
        <f>AY100&amp;COUNTIF($AY$3:AY100,AY100)</f>
        <v>Kirklees1</v>
      </c>
      <c r="AY100" s="513" t="s">
        <v>261</v>
      </c>
      <c r="AZ100" s="513" t="s">
        <v>253</v>
      </c>
      <c r="BA100" s="514">
        <v>4739.4658841698838</v>
      </c>
    </row>
    <row r="101" spans="1:53">
      <c r="A101" s="274"/>
      <c r="B101" s="274"/>
      <c r="C101" s="274"/>
      <c r="D101" s="274"/>
      <c r="E101" s="274"/>
      <c r="F101" s="274"/>
      <c r="G101" s="274"/>
      <c r="H101" s="274"/>
      <c r="I101" s="274"/>
      <c r="J101" s="274"/>
      <c r="K101" s="274"/>
      <c r="L101" s="274"/>
      <c r="M101" s="274"/>
      <c r="N101" s="274"/>
      <c r="O101" s="274" t="s">
        <v>748</v>
      </c>
      <c r="P101" s="277" t="s">
        <v>360</v>
      </c>
      <c r="Q101" s="275" t="str">
        <f t="shared" si="1"/>
        <v>E06000038</v>
      </c>
      <c r="R101" s="274"/>
      <c r="S101" s="274"/>
      <c r="T101" s="274"/>
      <c r="U101" s="274" t="s">
        <v>361</v>
      </c>
      <c r="V101" s="274" t="s">
        <v>362</v>
      </c>
      <c r="W101" s="276">
        <v>5035</v>
      </c>
      <c r="X101" s="274">
        <v>14497</v>
      </c>
      <c r="Y101" s="274"/>
      <c r="Z101" s="274" t="s">
        <v>747</v>
      </c>
      <c r="AA101" s="277" t="s">
        <v>357</v>
      </c>
      <c r="AB101" s="274" t="s">
        <v>747</v>
      </c>
      <c r="AC101" s="274"/>
      <c r="AD101" s="274"/>
      <c r="AE101" s="274"/>
      <c r="AF101" s="274"/>
      <c r="AG101" s="274"/>
      <c r="AH101" s="274"/>
      <c r="AI101" s="274"/>
      <c r="AJ101" s="274"/>
      <c r="AK101" s="274"/>
      <c r="AL101" s="274"/>
      <c r="AM101" t="s">
        <v>1605</v>
      </c>
      <c r="AN101" s="447" t="s">
        <v>188</v>
      </c>
      <c r="AO101" s="447" t="s">
        <v>246</v>
      </c>
      <c r="AP101" s="501">
        <v>35989</v>
      </c>
      <c r="AU101" t="s">
        <v>960</v>
      </c>
      <c r="AV101" s="510">
        <v>2841.3294797687863</v>
      </c>
      <c r="AX101" t="str">
        <f>AY101&amp;COUNTIF($AY$3:AY101,AY101)</f>
        <v>Kirklees2</v>
      </c>
      <c r="AY101" s="513" t="s">
        <v>261</v>
      </c>
      <c r="AZ101" s="513" t="s">
        <v>424</v>
      </c>
      <c r="BA101" s="514">
        <v>3784.9901158301159</v>
      </c>
    </row>
    <row r="102" spans="1:53">
      <c r="A102" s="274"/>
      <c r="B102" s="274"/>
      <c r="C102" s="274"/>
      <c r="D102" s="274"/>
      <c r="E102" s="274"/>
      <c r="F102" s="274"/>
      <c r="G102" s="274"/>
      <c r="H102" s="274"/>
      <c r="I102" s="274"/>
      <c r="J102" s="274"/>
      <c r="K102" s="274"/>
      <c r="L102" s="274"/>
      <c r="M102" s="274"/>
      <c r="N102" s="274"/>
      <c r="O102" s="274" t="s">
        <v>749</v>
      </c>
      <c r="P102" s="277" t="s">
        <v>363</v>
      </c>
      <c r="Q102" s="275" t="str">
        <f t="shared" si="1"/>
        <v>E09000026</v>
      </c>
      <c r="R102" s="274"/>
      <c r="S102" s="274"/>
      <c r="T102" s="274"/>
      <c r="U102" s="274" t="s">
        <v>364</v>
      </c>
      <c r="V102" s="274" t="s">
        <v>365</v>
      </c>
      <c r="W102" s="276">
        <v>13553</v>
      </c>
      <c r="X102" s="274">
        <v>39832</v>
      </c>
      <c r="Y102" s="274"/>
      <c r="Z102" s="274" t="s">
        <v>748</v>
      </c>
      <c r="AA102" s="277" t="s">
        <v>360</v>
      </c>
      <c r="AB102" s="274" t="s">
        <v>748</v>
      </c>
      <c r="AC102" s="274"/>
      <c r="AD102" s="274"/>
      <c r="AE102" s="274"/>
      <c r="AF102" s="274"/>
      <c r="AG102" s="274"/>
      <c r="AH102" s="274"/>
      <c r="AI102" s="274"/>
      <c r="AJ102" s="274"/>
      <c r="AK102" s="274"/>
      <c r="AL102" s="274"/>
      <c r="AM102" t="s">
        <v>1563</v>
      </c>
      <c r="AN102" s="447"/>
      <c r="AO102" s="447" t="s">
        <v>1295</v>
      </c>
      <c r="AP102" s="501" t="s">
        <v>1295</v>
      </c>
      <c r="AU102" t="s">
        <v>357</v>
      </c>
      <c r="AV102" s="510">
        <v>3772.2543352601156</v>
      </c>
      <c r="AX102" t="str">
        <f>AY102&amp;COUNTIF($AY$3:AY102,AY102)</f>
        <v>Knowsley1</v>
      </c>
      <c r="AY102" s="512" t="s">
        <v>264</v>
      </c>
      <c r="AZ102" s="512" t="s">
        <v>334</v>
      </c>
      <c r="BA102" s="514">
        <v>4478.1719999999996</v>
      </c>
    </row>
    <row r="103" spans="1:53">
      <c r="A103" s="274"/>
      <c r="B103" s="274"/>
      <c r="C103" s="274"/>
      <c r="D103" s="274"/>
      <c r="E103" s="274"/>
      <c r="F103" s="274"/>
      <c r="G103" s="274"/>
      <c r="H103" s="274"/>
      <c r="I103" s="274"/>
      <c r="J103" s="274"/>
      <c r="K103" s="274"/>
      <c r="L103" s="274"/>
      <c r="M103" s="274"/>
      <c r="N103" s="274"/>
      <c r="O103" s="274" t="s">
        <v>750</v>
      </c>
      <c r="P103" s="277" t="s">
        <v>366</v>
      </c>
      <c r="Q103" s="275" t="str">
        <f t="shared" si="1"/>
        <v>E06000003</v>
      </c>
      <c r="R103" s="274"/>
      <c r="S103" s="274"/>
      <c r="T103" s="274"/>
      <c r="U103" s="274" t="s">
        <v>367</v>
      </c>
      <c r="V103" s="274" t="s">
        <v>368</v>
      </c>
      <c r="W103" s="276">
        <v>3612</v>
      </c>
      <c r="X103" s="274">
        <v>11998</v>
      </c>
      <c r="Y103" s="274"/>
      <c r="Z103" s="274" t="s">
        <v>749</v>
      </c>
      <c r="AA103" s="277" t="s">
        <v>363</v>
      </c>
      <c r="AB103" s="274" t="s">
        <v>749</v>
      </c>
      <c r="AC103" s="274"/>
      <c r="AD103" s="274"/>
      <c r="AE103" s="274"/>
      <c r="AF103" s="274"/>
      <c r="AG103" s="274"/>
      <c r="AH103" s="274"/>
      <c r="AI103" s="274"/>
      <c r="AJ103" s="274"/>
      <c r="AK103" s="274"/>
      <c r="AL103" s="274"/>
      <c r="AM103" t="s">
        <v>1563</v>
      </c>
      <c r="AN103" s="447"/>
      <c r="AO103" s="447" t="s">
        <v>1295</v>
      </c>
      <c r="AP103" s="501" t="s">
        <v>1295</v>
      </c>
      <c r="AU103" t="s">
        <v>360</v>
      </c>
      <c r="AV103" s="510">
        <v>2623.1213872832368</v>
      </c>
      <c r="AX103" t="str">
        <f>AY103&amp;COUNTIF($AY$3:AY103,AY103)</f>
        <v>Lambeth1</v>
      </c>
      <c r="AY103" s="512" t="s">
        <v>267</v>
      </c>
      <c r="AZ103" s="512" t="s">
        <v>337</v>
      </c>
      <c r="BA103" s="514">
        <v>6915.866</v>
      </c>
    </row>
    <row r="104" spans="1:53">
      <c r="A104" s="274"/>
      <c r="B104" s="274"/>
      <c r="C104" s="274"/>
      <c r="D104" s="274"/>
      <c r="E104" s="274"/>
      <c r="F104" s="274"/>
      <c r="G104" s="274"/>
      <c r="H104" s="274"/>
      <c r="I104" s="274"/>
      <c r="J104" s="274"/>
      <c r="K104" s="274"/>
      <c r="L104" s="274"/>
      <c r="M104" s="274"/>
      <c r="N104" s="274"/>
      <c r="O104" s="274" t="s">
        <v>751</v>
      </c>
      <c r="P104" s="277" t="s">
        <v>369</v>
      </c>
      <c r="Q104" s="275" t="str">
        <f t="shared" si="1"/>
        <v>E09000027</v>
      </c>
      <c r="R104" s="274"/>
      <c r="S104" s="274"/>
      <c r="T104" s="274"/>
      <c r="U104" s="274" t="s">
        <v>370</v>
      </c>
      <c r="V104" s="274" t="s">
        <v>371</v>
      </c>
      <c r="W104" s="276">
        <v>3936</v>
      </c>
      <c r="X104" s="274">
        <v>12418</v>
      </c>
      <c r="Y104" s="274"/>
      <c r="Z104" s="274" t="s">
        <v>750</v>
      </c>
      <c r="AA104" s="277" t="s">
        <v>366</v>
      </c>
      <c r="AB104" s="274" t="s">
        <v>750</v>
      </c>
      <c r="AC104" s="274"/>
      <c r="AD104" s="274"/>
      <c r="AE104" s="274"/>
      <c r="AF104" s="274"/>
      <c r="AG104" s="274"/>
      <c r="AH104" s="274"/>
      <c r="AI104" s="274"/>
      <c r="AJ104" s="274"/>
      <c r="AK104" s="274"/>
      <c r="AL104" s="274"/>
      <c r="AM104" t="s">
        <v>1563</v>
      </c>
      <c r="AN104" s="447"/>
      <c r="AO104" s="447" t="s">
        <v>1295</v>
      </c>
      <c r="AP104" s="501" t="s">
        <v>1295</v>
      </c>
      <c r="AU104" t="s">
        <v>363</v>
      </c>
      <c r="AV104" s="510">
        <v>4633.5260115606934</v>
      </c>
      <c r="AX104" t="str">
        <f>AY104&amp;COUNTIF($AY$3:AY104,AY104)</f>
        <v>Lancashire1</v>
      </c>
      <c r="AY104" s="513" t="s">
        <v>270</v>
      </c>
      <c r="AZ104" s="513" t="s">
        <v>144</v>
      </c>
      <c r="BA104" s="514">
        <v>3412.3491507936506</v>
      </c>
    </row>
    <row r="105" spans="1:53">
      <c r="A105" s="274"/>
      <c r="B105" s="274"/>
      <c r="C105" s="274"/>
      <c r="D105" s="274"/>
      <c r="E105" s="274"/>
      <c r="F105" s="274"/>
      <c r="G105" s="274"/>
      <c r="H105" s="274"/>
      <c r="I105" s="274"/>
      <c r="J105" s="274"/>
      <c r="K105" s="274"/>
      <c r="L105" s="274"/>
      <c r="M105" s="274"/>
      <c r="N105" s="274"/>
      <c r="O105" s="274" t="s">
        <v>752</v>
      </c>
      <c r="P105" s="277" t="s">
        <v>372</v>
      </c>
      <c r="Q105" s="275" t="str">
        <f t="shared" si="1"/>
        <v>E08000005</v>
      </c>
      <c r="R105" s="274"/>
      <c r="S105" s="274"/>
      <c r="T105" s="274"/>
      <c r="U105" s="274" t="s">
        <v>373</v>
      </c>
      <c r="V105" s="274" t="s">
        <v>374</v>
      </c>
      <c r="W105" s="276">
        <v>4574</v>
      </c>
      <c r="X105" s="274">
        <v>16154</v>
      </c>
      <c r="Y105" s="274"/>
      <c r="Z105" s="274" t="s">
        <v>751</v>
      </c>
      <c r="AA105" s="277" t="s">
        <v>369</v>
      </c>
      <c r="AB105" s="274" t="s">
        <v>751</v>
      </c>
      <c r="AC105" s="274"/>
      <c r="AD105" s="274"/>
      <c r="AE105" s="274"/>
      <c r="AF105" s="274"/>
      <c r="AG105" s="274"/>
      <c r="AH105" s="274"/>
      <c r="AI105" s="274"/>
      <c r="AJ105" s="274"/>
      <c r="AK105" s="274"/>
      <c r="AL105" s="274"/>
      <c r="AM105" t="s">
        <v>1563</v>
      </c>
      <c r="AN105" s="447"/>
      <c r="AO105" s="447" t="s">
        <v>1295</v>
      </c>
      <c r="AP105" s="501" t="s">
        <v>1295</v>
      </c>
      <c r="AU105" t="s">
        <v>366</v>
      </c>
      <c r="AV105" s="510">
        <v>3010.4046242774566</v>
      </c>
      <c r="AX105" t="str">
        <f>AY105&amp;COUNTIF($AY$3:AY105,AY105)</f>
        <v>Lancashire2</v>
      </c>
      <c r="AY105" s="513" t="s">
        <v>270</v>
      </c>
      <c r="AZ105" s="513" t="s">
        <v>1230</v>
      </c>
      <c r="BA105" s="514">
        <v>8162.8744391534383</v>
      </c>
    </row>
    <row r="106" spans="1:53">
      <c r="A106" s="274"/>
      <c r="B106" s="274"/>
      <c r="C106" s="274"/>
      <c r="D106" s="274"/>
      <c r="E106" s="274"/>
      <c r="F106" s="274"/>
      <c r="G106" s="274"/>
      <c r="H106" s="274"/>
      <c r="I106" s="274"/>
      <c r="J106" s="274"/>
      <c r="K106" s="274"/>
      <c r="L106" s="274"/>
      <c r="M106" s="274"/>
      <c r="N106" s="274"/>
      <c r="O106" s="274" t="s">
        <v>753</v>
      </c>
      <c r="P106" s="277" t="s">
        <v>375</v>
      </c>
      <c r="Q106" s="275" t="str">
        <f t="shared" si="1"/>
        <v>E08000018</v>
      </c>
      <c r="R106" s="274"/>
      <c r="S106" s="274"/>
      <c r="T106" s="274"/>
      <c r="U106" s="274" t="s">
        <v>376</v>
      </c>
      <c r="V106" s="274" t="s">
        <v>377</v>
      </c>
      <c r="W106" s="276">
        <v>3428</v>
      </c>
      <c r="X106" s="274">
        <v>11254</v>
      </c>
      <c r="Y106" s="274"/>
      <c r="Z106" s="274" t="s">
        <v>752</v>
      </c>
      <c r="AA106" s="277" t="s">
        <v>372</v>
      </c>
      <c r="AB106" s="274" t="s">
        <v>752</v>
      </c>
      <c r="AC106" s="274"/>
      <c r="AD106" s="274"/>
      <c r="AE106" s="274"/>
      <c r="AF106" s="274"/>
      <c r="AG106" s="274"/>
      <c r="AH106" s="274"/>
      <c r="AI106" s="274"/>
      <c r="AJ106" s="274"/>
      <c r="AK106" s="274"/>
      <c r="AL106" s="274"/>
      <c r="AM106" t="s">
        <v>1563</v>
      </c>
      <c r="AN106" s="447"/>
      <c r="AO106" s="447" t="s">
        <v>1295</v>
      </c>
      <c r="AP106" s="501" t="s">
        <v>1295</v>
      </c>
      <c r="AU106" t="s">
        <v>369</v>
      </c>
      <c r="AV106" s="510">
        <v>3089.3063583815028</v>
      </c>
      <c r="AX106" t="str">
        <f>AY106&amp;COUNTIF($AY$3:AY106,AY106)</f>
        <v>Lancashire3</v>
      </c>
      <c r="AY106" s="513" t="s">
        <v>270</v>
      </c>
      <c r="AZ106" s="513" t="s">
        <v>256</v>
      </c>
      <c r="BA106" s="514">
        <v>4282.1636402116401</v>
      </c>
    </row>
    <row r="107" spans="1:53">
      <c r="A107" s="274"/>
      <c r="B107" s="274"/>
      <c r="C107" s="274"/>
      <c r="D107" s="274"/>
      <c r="E107" s="274"/>
      <c r="F107" s="274"/>
      <c r="G107" s="274"/>
      <c r="H107" s="274"/>
      <c r="I107" s="274"/>
      <c r="J107" s="274"/>
      <c r="K107" s="274"/>
      <c r="L107" s="274"/>
      <c r="M107" s="274"/>
      <c r="N107" s="274"/>
      <c r="O107" s="274" t="s">
        <v>754</v>
      </c>
      <c r="P107" s="277" t="s">
        <v>378</v>
      </c>
      <c r="Q107" s="275" t="str">
        <f t="shared" si="1"/>
        <v>E06000017</v>
      </c>
      <c r="R107" s="274"/>
      <c r="S107" s="274"/>
      <c r="T107" s="274"/>
      <c r="U107" s="274" t="s">
        <v>379</v>
      </c>
      <c r="V107" s="274" t="s">
        <v>380</v>
      </c>
      <c r="W107" s="276">
        <v>7281</v>
      </c>
      <c r="X107" s="274">
        <v>21651</v>
      </c>
      <c r="Y107" s="274"/>
      <c r="Z107" s="274" t="s">
        <v>753</v>
      </c>
      <c r="AA107" s="277" t="s">
        <v>375</v>
      </c>
      <c r="AB107" s="274" t="s">
        <v>753</v>
      </c>
      <c r="AC107" s="274"/>
      <c r="AD107" s="274"/>
      <c r="AE107" s="274"/>
      <c r="AF107" s="274"/>
      <c r="AG107" s="274"/>
      <c r="AH107" s="274"/>
      <c r="AI107" s="274"/>
      <c r="AJ107" s="274"/>
      <c r="AK107" s="274"/>
      <c r="AL107" s="274"/>
      <c r="AM107" t="s">
        <v>1606</v>
      </c>
      <c r="AN107" s="120" t="s">
        <v>192</v>
      </c>
      <c r="AO107" s="120" t="s">
        <v>259</v>
      </c>
      <c r="AP107" s="502">
        <v>18010</v>
      </c>
      <c r="AU107" t="s">
        <v>372</v>
      </c>
      <c r="AV107" s="510">
        <v>4371.3872832369943</v>
      </c>
      <c r="AX107" t="str">
        <f>AY107&amp;COUNTIF($AY$3:AY107,AY107)</f>
        <v>Lancashire4</v>
      </c>
      <c r="AY107" s="513" t="s">
        <v>270</v>
      </c>
      <c r="AZ107" s="513" t="s">
        <v>340</v>
      </c>
      <c r="BA107" s="514">
        <v>3311.9859404761905</v>
      </c>
    </row>
    <row r="108" spans="1:53">
      <c r="A108" s="274"/>
      <c r="B108" s="274"/>
      <c r="C108" s="274"/>
      <c r="D108" s="274"/>
      <c r="E108" s="274"/>
      <c r="F108" s="274"/>
      <c r="G108" s="274"/>
      <c r="H108" s="274"/>
      <c r="I108" s="274"/>
      <c r="J108" s="274"/>
      <c r="K108" s="274"/>
      <c r="L108" s="274"/>
      <c r="M108" s="274"/>
      <c r="N108" s="274"/>
      <c r="O108" s="274" t="s">
        <v>755</v>
      </c>
      <c r="P108" s="277" t="s">
        <v>381</v>
      </c>
      <c r="Q108" s="275" t="str">
        <f t="shared" si="1"/>
        <v>E08000006</v>
      </c>
      <c r="R108" s="274"/>
      <c r="S108" s="274"/>
      <c r="T108" s="274"/>
      <c r="U108" s="274" t="s">
        <v>382</v>
      </c>
      <c r="V108" s="274" t="s">
        <v>383</v>
      </c>
      <c r="W108" s="276">
        <v>4258</v>
      </c>
      <c r="X108" s="274">
        <v>13788</v>
      </c>
      <c r="Y108" s="274"/>
      <c r="Z108" s="274" t="s">
        <v>754</v>
      </c>
      <c r="AA108" s="277" t="s">
        <v>378</v>
      </c>
      <c r="AB108" s="274" t="s">
        <v>754</v>
      </c>
      <c r="AC108" s="274"/>
      <c r="AD108" s="274"/>
      <c r="AE108" s="274"/>
      <c r="AF108" s="274"/>
      <c r="AG108" s="274"/>
      <c r="AH108" s="274"/>
      <c r="AI108" s="274"/>
      <c r="AJ108" s="274"/>
      <c r="AK108" s="274"/>
      <c r="AL108" s="274"/>
      <c r="AM108" t="s">
        <v>1607</v>
      </c>
      <c r="AN108" s="447" t="s">
        <v>195</v>
      </c>
      <c r="AO108" s="447" t="s">
        <v>147</v>
      </c>
      <c r="AP108" s="501">
        <v>18649</v>
      </c>
      <c r="AU108" t="s">
        <v>375</v>
      </c>
      <c r="AV108" s="510">
        <v>5303.4682080924858</v>
      </c>
      <c r="AX108" t="str">
        <f>AY108&amp;COUNTIF($AY$3:AY108,AY108)</f>
        <v>Lancashire5</v>
      </c>
      <c r="AY108" s="513" t="s">
        <v>270</v>
      </c>
      <c r="AZ108" s="513" t="s">
        <v>613</v>
      </c>
      <c r="BA108" s="514">
        <v>2442.171451058201</v>
      </c>
    </row>
    <row r="109" spans="1:53">
      <c r="A109" s="274"/>
      <c r="B109" s="274"/>
      <c r="C109" s="274"/>
      <c r="D109" s="274"/>
      <c r="E109" s="274"/>
      <c r="F109" s="274"/>
      <c r="G109" s="274"/>
      <c r="H109" s="274"/>
      <c r="I109" s="274"/>
      <c r="J109" s="274"/>
      <c r="K109" s="274"/>
      <c r="L109" s="274"/>
      <c r="M109" s="274"/>
      <c r="N109" s="274"/>
      <c r="O109" s="274" t="s">
        <v>756</v>
      </c>
      <c r="P109" s="277" t="s">
        <v>384</v>
      </c>
      <c r="Q109" s="275" t="str">
        <f t="shared" si="1"/>
        <v>E08000028</v>
      </c>
      <c r="R109" s="274"/>
      <c r="S109" s="274"/>
      <c r="T109" s="274"/>
      <c r="U109" s="274" t="s">
        <v>385</v>
      </c>
      <c r="V109" s="274" t="s">
        <v>386</v>
      </c>
      <c r="W109" s="276">
        <v>10978</v>
      </c>
      <c r="X109" s="274">
        <v>35643</v>
      </c>
      <c r="Y109" s="274"/>
      <c r="Z109" s="274" t="s">
        <v>755</v>
      </c>
      <c r="AA109" s="277" t="s">
        <v>381</v>
      </c>
      <c r="AB109" s="274" t="s">
        <v>755</v>
      </c>
      <c r="AC109" s="274"/>
      <c r="AD109" s="274"/>
      <c r="AE109" s="274"/>
      <c r="AF109" s="274"/>
      <c r="AG109" s="274"/>
      <c r="AH109" s="274"/>
      <c r="AI109" s="274"/>
      <c r="AJ109" s="274"/>
      <c r="AK109" s="274"/>
      <c r="AL109" s="274"/>
      <c r="AM109" t="s">
        <v>1608</v>
      </c>
      <c r="AN109" s="120" t="s">
        <v>198</v>
      </c>
      <c r="AO109" s="120" t="s">
        <v>265</v>
      </c>
      <c r="AP109" s="502">
        <v>9451</v>
      </c>
      <c r="AU109" t="s">
        <v>378</v>
      </c>
      <c r="AV109" s="510">
        <v>591.32947976878609</v>
      </c>
      <c r="AX109" t="str">
        <f>AY109&amp;COUNTIF($AY$3:AY109,AY109)</f>
        <v>Lancashire6</v>
      </c>
      <c r="AY109" s="513" t="s">
        <v>270</v>
      </c>
      <c r="AZ109" s="513" t="s">
        <v>1318</v>
      </c>
      <c r="BA109" s="514">
        <v>3679.9843783068777</v>
      </c>
    </row>
    <row r="110" spans="1:53">
      <c r="A110" s="274"/>
      <c r="B110" s="274"/>
      <c r="C110" s="274"/>
      <c r="D110" s="274"/>
      <c r="E110" s="274"/>
      <c r="F110" s="274"/>
      <c r="G110" s="274"/>
      <c r="H110" s="274"/>
      <c r="I110" s="274"/>
      <c r="J110" s="274"/>
      <c r="K110" s="274"/>
      <c r="L110" s="274"/>
      <c r="M110" s="274"/>
      <c r="N110" s="274"/>
      <c r="O110" s="274" t="s">
        <v>757</v>
      </c>
      <c r="P110" s="277" t="s">
        <v>387</v>
      </c>
      <c r="Q110" s="275" t="str">
        <f t="shared" si="1"/>
        <v>E08000014</v>
      </c>
      <c r="R110" s="274"/>
      <c r="S110" s="274"/>
      <c r="T110" s="274"/>
      <c r="U110" s="274" t="s">
        <v>388</v>
      </c>
      <c r="V110" s="274" t="s">
        <v>389</v>
      </c>
      <c r="W110" s="276">
        <v>2309</v>
      </c>
      <c r="X110" s="274">
        <v>7718</v>
      </c>
      <c r="Y110" s="274"/>
      <c r="Z110" s="274" t="s">
        <v>756</v>
      </c>
      <c r="AA110" s="277" t="s">
        <v>384</v>
      </c>
      <c r="AB110" s="274" t="s">
        <v>756</v>
      </c>
      <c r="AC110" s="274"/>
      <c r="AD110" s="274"/>
      <c r="AE110" s="274"/>
      <c r="AF110" s="274"/>
      <c r="AG110" s="274"/>
      <c r="AH110" s="274"/>
      <c r="AI110" s="274"/>
      <c r="AJ110" s="274"/>
      <c r="AK110" s="274"/>
      <c r="AL110" s="274"/>
      <c r="AM110" t="s">
        <v>1609</v>
      </c>
      <c r="AN110" s="447" t="s">
        <v>202</v>
      </c>
      <c r="AO110" s="447" t="s">
        <v>271</v>
      </c>
      <c r="AP110" s="501">
        <v>13148</v>
      </c>
      <c r="AU110" t="s">
        <v>381</v>
      </c>
      <c r="AV110" s="510">
        <v>5225.4335260115604</v>
      </c>
      <c r="AX110" t="str">
        <f>AY110&amp;COUNTIF($AY$3:AY110,AY110)</f>
        <v>Leeds1</v>
      </c>
      <c r="AY110" s="513" t="s">
        <v>273</v>
      </c>
      <c r="AZ110" s="513" t="s">
        <v>343</v>
      </c>
      <c r="BA110" s="514">
        <v>4155.5834688796685</v>
      </c>
    </row>
    <row r="111" spans="1:53">
      <c r="A111" s="274"/>
      <c r="B111" s="274"/>
      <c r="C111" s="274"/>
      <c r="D111" s="274"/>
      <c r="E111" s="274"/>
      <c r="F111" s="274"/>
      <c r="G111" s="274"/>
      <c r="H111" s="274"/>
      <c r="I111" s="274"/>
      <c r="J111" s="274"/>
      <c r="K111" s="274"/>
      <c r="L111" s="274"/>
      <c r="M111" s="274"/>
      <c r="N111" s="274"/>
      <c r="O111" s="274" t="s">
        <v>758</v>
      </c>
      <c r="P111" s="277" t="s">
        <v>390</v>
      </c>
      <c r="Q111" s="275" t="str">
        <f t="shared" si="1"/>
        <v>E08000019</v>
      </c>
      <c r="R111" s="274"/>
      <c r="S111" s="274"/>
      <c r="T111" s="274"/>
      <c r="U111" s="274" t="s">
        <v>391</v>
      </c>
      <c r="V111" s="274" t="s">
        <v>392</v>
      </c>
      <c r="W111" s="276">
        <v>1538</v>
      </c>
      <c r="X111" s="274">
        <v>5722</v>
      </c>
      <c r="Y111" s="274"/>
      <c r="Z111" s="274" t="s">
        <v>757</v>
      </c>
      <c r="AA111" s="277" t="s">
        <v>387</v>
      </c>
      <c r="AB111" s="274" t="s">
        <v>757</v>
      </c>
      <c r="AC111" s="274"/>
      <c r="AD111" s="274"/>
      <c r="AE111" s="274"/>
      <c r="AF111" s="274"/>
      <c r="AG111" s="274"/>
      <c r="AH111" s="274"/>
      <c r="AI111" s="274"/>
      <c r="AJ111" s="274"/>
      <c r="AK111" s="274"/>
      <c r="AL111" s="274"/>
      <c r="AM111" t="s">
        <v>1610</v>
      </c>
      <c r="AN111" s="120" t="s">
        <v>205</v>
      </c>
      <c r="AO111" s="120" t="s">
        <v>609</v>
      </c>
      <c r="AP111" s="502">
        <v>29845</v>
      </c>
      <c r="AU111" t="s">
        <v>384</v>
      </c>
      <c r="AV111" s="510">
        <v>6702.8901734104047</v>
      </c>
      <c r="AX111" t="str">
        <f>AY111&amp;COUNTIF($AY$3:AY111,AY111)</f>
        <v>Leeds2</v>
      </c>
      <c r="AY111" s="513" t="s">
        <v>273</v>
      </c>
      <c r="AZ111" s="513" t="s">
        <v>349</v>
      </c>
      <c r="BA111" s="514">
        <v>6138.9301244813278</v>
      </c>
    </row>
    <row r="112" spans="1:53">
      <c r="A112" s="274"/>
      <c r="B112" s="274"/>
      <c r="C112" s="274"/>
      <c r="D112" s="274"/>
      <c r="E112" s="274"/>
      <c r="F112" s="274"/>
      <c r="G112" s="274"/>
      <c r="H112" s="274"/>
      <c r="I112" s="274"/>
      <c r="J112" s="274"/>
      <c r="K112" s="274"/>
      <c r="L112" s="274"/>
      <c r="M112" s="274"/>
      <c r="N112" s="274"/>
      <c r="O112" s="274" t="s">
        <v>759</v>
      </c>
      <c r="P112" s="277" t="s">
        <v>393</v>
      </c>
      <c r="Q112" s="275" t="str">
        <f t="shared" si="1"/>
        <v>E06000051</v>
      </c>
      <c r="R112" s="274"/>
      <c r="S112" s="274"/>
      <c r="T112" s="274"/>
      <c r="U112" s="274" t="s">
        <v>394</v>
      </c>
      <c r="V112" s="274" t="s">
        <v>395</v>
      </c>
      <c r="W112" s="276">
        <v>3341</v>
      </c>
      <c r="X112" s="274">
        <v>9691</v>
      </c>
      <c r="Y112" s="274"/>
      <c r="Z112" s="274" t="s">
        <v>758</v>
      </c>
      <c r="AA112" s="277" t="s">
        <v>390</v>
      </c>
      <c r="AB112" s="274" t="s">
        <v>758</v>
      </c>
      <c r="AC112" s="274"/>
      <c r="AD112" s="274"/>
      <c r="AE112" s="274"/>
      <c r="AF112" s="274"/>
      <c r="AG112" s="274"/>
      <c r="AH112" s="274"/>
      <c r="AI112" s="274"/>
      <c r="AJ112" s="274"/>
      <c r="AK112" s="274"/>
      <c r="AL112" s="274"/>
      <c r="AM112" t="s">
        <v>1611</v>
      </c>
      <c r="AN112" s="120" t="s">
        <v>205</v>
      </c>
      <c r="AO112" s="120" t="s">
        <v>521</v>
      </c>
      <c r="AP112" s="502">
        <v>11617</v>
      </c>
      <c r="AU112" t="s">
        <v>387</v>
      </c>
      <c r="AV112" s="510">
        <v>6136.4161849710981</v>
      </c>
      <c r="AX112" t="str">
        <f>AY112&amp;COUNTIF($AY$3:AY112,AY112)</f>
        <v>Leeds3</v>
      </c>
      <c r="AY112" s="513" t="s">
        <v>273</v>
      </c>
      <c r="AZ112" s="513" t="s">
        <v>346</v>
      </c>
      <c r="BA112" s="514">
        <v>4879.6624066390041</v>
      </c>
    </row>
    <row r="113" spans="1:53">
      <c r="A113" s="274"/>
      <c r="B113" s="274"/>
      <c r="C113" s="274"/>
      <c r="D113" s="274"/>
      <c r="E113" s="274"/>
      <c r="F113" s="274"/>
      <c r="G113" s="274"/>
      <c r="H113" s="274"/>
      <c r="I113" s="274"/>
      <c r="J113" s="274"/>
      <c r="K113" s="274"/>
      <c r="L113" s="274"/>
      <c r="M113" s="274"/>
      <c r="N113" s="274"/>
      <c r="O113" s="274" t="s">
        <v>760</v>
      </c>
      <c r="P113" s="277" t="s">
        <v>396</v>
      </c>
      <c r="Q113" s="275" t="str">
        <f t="shared" si="1"/>
        <v>E06000039</v>
      </c>
      <c r="R113" s="274"/>
      <c r="S113" s="274"/>
      <c r="T113" s="274"/>
      <c r="U113" s="274" t="s">
        <v>397</v>
      </c>
      <c r="V113" s="274" t="s">
        <v>398</v>
      </c>
      <c r="W113" s="276">
        <v>3538</v>
      </c>
      <c r="X113" s="274">
        <v>10236</v>
      </c>
      <c r="Y113" s="274"/>
      <c r="Z113" s="274" t="s">
        <v>759</v>
      </c>
      <c r="AA113" s="277" t="s">
        <v>393</v>
      </c>
      <c r="AB113" s="274" t="s">
        <v>759</v>
      </c>
      <c r="AC113" s="274"/>
      <c r="AD113" s="274"/>
      <c r="AE113" s="274"/>
      <c r="AF113" s="274"/>
      <c r="AG113" s="274"/>
      <c r="AH113" s="274"/>
      <c r="AI113" s="274"/>
      <c r="AJ113" s="274"/>
      <c r="AK113" s="274"/>
      <c r="AL113" s="274"/>
      <c r="AM113" t="s">
        <v>1612</v>
      </c>
      <c r="AN113" s="120" t="s">
        <v>205</v>
      </c>
      <c r="AO113" s="120" t="s">
        <v>421</v>
      </c>
      <c r="AP113" s="502">
        <v>11391</v>
      </c>
      <c r="AU113" t="s">
        <v>390</v>
      </c>
      <c r="AV113" s="510">
        <v>10919.942196531792</v>
      </c>
      <c r="AX113" t="str">
        <f>AY113&amp;COUNTIF($AY$3:AY113,AY113)</f>
        <v>Leicester1</v>
      </c>
      <c r="AY113" s="512" t="s">
        <v>276</v>
      </c>
      <c r="AZ113" s="512" t="s">
        <v>352</v>
      </c>
      <c r="BA113" s="514">
        <v>7212.9679999999998</v>
      </c>
    </row>
    <row r="114" spans="1:53">
      <c r="A114" s="274"/>
      <c r="B114" s="274"/>
      <c r="C114" s="274"/>
      <c r="D114" s="274"/>
      <c r="E114" s="274"/>
      <c r="F114" s="274"/>
      <c r="G114" s="274"/>
      <c r="H114" s="274"/>
      <c r="I114" s="274"/>
      <c r="J114" s="274"/>
      <c r="K114" s="274"/>
      <c r="L114" s="274"/>
      <c r="M114" s="274"/>
      <c r="N114" s="274"/>
      <c r="O114" s="274" t="s">
        <v>761</v>
      </c>
      <c r="P114" s="277" t="s">
        <v>399</v>
      </c>
      <c r="Q114" s="275" t="str">
        <f t="shared" si="1"/>
        <v>E08000029</v>
      </c>
      <c r="R114" s="274"/>
      <c r="S114" s="274"/>
      <c r="T114" s="274"/>
      <c r="U114" s="274" t="s">
        <v>400</v>
      </c>
      <c r="V114" s="274" t="s">
        <v>401</v>
      </c>
      <c r="W114" s="276">
        <v>6730</v>
      </c>
      <c r="X114" s="274">
        <v>21040</v>
      </c>
      <c r="Y114" s="274"/>
      <c r="Z114" s="274" t="s">
        <v>760</v>
      </c>
      <c r="AA114" s="277" t="s">
        <v>396</v>
      </c>
      <c r="AB114" s="274" t="s">
        <v>760</v>
      </c>
      <c r="AC114" s="274"/>
      <c r="AD114" s="274"/>
      <c r="AE114" s="274"/>
      <c r="AF114" s="274"/>
      <c r="AG114" s="274"/>
      <c r="AH114" s="274"/>
      <c r="AI114" s="274"/>
      <c r="AJ114" s="274"/>
      <c r="AK114" s="274"/>
      <c r="AL114" s="274"/>
      <c r="AM114" t="s">
        <v>1613</v>
      </c>
      <c r="AN114" s="120" t="s">
        <v>205</v>
      </c>
      <c r="AO114" s="120" t="s">
        <v>415</v>
      </c>
      <c r="AP114" s="502">
        <v>9094</v>
      </c>
      <c r="AU114" t="s">
        <v>393</v>
      </c>
      <c r="AV114" s="510">
        <v>5576.8786127167632</v>
      </c>
      <c r="AX114" t="str">
        <f>AY114&amp;COUNTIF($AY$3:AY114,AY114)</f>
        <v>Leicestershire1</v>
      </c>
      <c r="AY114" s="513" t="s">
        <v>279</v>
      </c>
      <c r="AZ114" s="513" t="s">
        <v>206</v>
      </c>
      <c r="BA114" s="514">
        <v>4722.3123737373735</v>
      </c>
    </row>
    <row r="115" spans="1:53">
      <c r="A115" s="274"/>
      <c r="B115" s="274"/>
      <c r="C115" s="274"/>
      <c r="D115" s="274"/>
      <c r="E115" s="274"/>
      <c r="F115" s="274"/>
      <c r="G115" s="274"/>
      <c r="H115" s="274"/>
      <c r="I115" s="274"/>
      <c r="J115" s="274"/>
      <c r="K115" s="274"/>
      <c r="L115" s="274"/>
      <c r="M115" s="274"/>
      <c r="N115" s="274"/>
      <c r="O115" s="274" t="s">
        <v>762</v>
      </c>
      <c r="P115" s="277" t="s">
        <v>402</v>
      </c>
      <c r="Q115" s="275" t="str">
        <f t="shared" si="1"/>
        <v>E10000027</v>
      </c>
      <c r="R115" s="274"/>
      <c r="S115" s="274"/>
      <c r="T115" s="274"/>
      <c r="U115" s="274" t="s">
        <v>403</v>
      </c>
      <c r="V115" s="274" t="s">
        <v>404</v>
      </c>
      <c r="W115" s="276">
        <v>1618</v>
      </c>
      <c r="X115" s="274">
        <v>5716</v>
      </c>
      <c r="Y115" s="274"/>
      <c r="Z115" s="274" t="s">
        <v>761</v>
      </c>
      <c r="AA115" s="277" t="s">
        <v>399</v>
      </c>
      <c r="AB115" s="274" t="s">
        <v>761</v>
      </c>
      <c r="AC115" s="274"/>
      <c r="AD115" s="274"/>
      <c r="AE115" s="274"/>
      <c r="AF115" s="274"/>
      <c r="AG115" s="274"/>
      <c r="AH115" s="274"/>
      <c r="AI115" s="274"/>
      <c r="AJ115" s="274"/>
      <c r="AK115" s="274"/>
      <c r="AL115" s="274"/>
      <c r="AM115" t="s">
        <v>1614</v>
      </c>
      <c r="AN115" s="120" t="s">
        <v>205</v>
      </c>
      <c r="AO115" s="120" t="s">
        <v>235</v>
      </c>
      <c r="AP115" s="502">
        <v>10876</v>
      </c>
      <c r="AU115" t="s">
        <v>396</v>
      </c>
      <c r="AV115" s="510">
        <v>2331.7919075144509</v>
      </c>
      <c r="AX115" t="str">
        <f>AY115&amp;COUNTIF($AY$3:AY115,AY115)</f>
        <v>Leicestershire2</v>
      </c>
      <c r="AY115" s="513" t="s">
        <v>279</v>
      </c>
      <c r="AZ115" s="513" t="s">
        <v>615</v>
      </c>
      <c r="BA115" s="514">
        <v>6342.9876262626258</v>
      </c>
    </row>
    <row r="116" spans="1:53">
      <c r="A116" s="274"/>
      <c r="B116" s="274"/>
      <c r="C116" s="274"/>
      <c r="D116" s="274"/>
      <c r="E116" s="274"/>
      <c r="F116" s="274"/>
      <c r="G116" s="274"/>
      <c r="H116" s="274"/>
      <c r="I116" s="274"/>
      <c r="J116" s="274"/>
      <c r="K116" s="274"/>
      <c r="L116" s="274"/>
      <c r="M116" s="274"/>
      <c r="N116" s="274"/>
      <c r="O116" s="274" t="s">
        <v>763</v>
      </c>
      <c r="P116" s="277" t="s">
        <v>405</v>
      </c>
      <c r="Q116" s="275" t="str">
        <f t="shared" si="1"/>
        <v>E06000025</v>
      </c>
      <c r="R116" s="274"/>
      <c r="S116" s="274"/>
      <c r="T116" s="274"/>
      <c r="U116" s="274" t="s">
        <v>406</v>
      </c>
      <c r="V116" s="274" t="s">
        <v>407</v>
      </c>
      <c r="W116" s="276">
        <v>5925</v>
      </c>
      <c r="X116" s="274">
        <v>19439</v>
      </c>
      <c r="Y116" s="274"/>
      <c r="Z116" s="274" t="s">
        <v>762</v>
      </c>
      <c r="AA116" s="277" t="s">
        <v>402</v>
      </c>
      <c r="AB116" s="274" t="s">
        <v>762</v>
      </c>
      <c r="AC116" s="274"/>
      <c r="AD116" s="274"/>
      <c r="AE116" s="274"/>
      <c r="AF116" s="274"/>
      <c r="AG116" s="274"/>
      <c r="AH116" s="274"/>
      <c r="AI116" s="274"/>
      <c r="AJ116" s="274"/>
      <c r="AK116" s="274"/>
      <c r="AL116" s="274"/>
      <c r="AM116" t="s">
        <v>1563</v>
      </c>
      <c r="AN116" s="120"/>
      <c r="AO116" s="120" t="s">
        <v>1295</v>
      </c>
      <c r="AP116" s="502" t="s">
        <v>1295</v>
      </c>
      <c r="AU116" t="s">
        <v>399</v>
      </c>
      <c r="AV116" s="510">
        <v>3965.0289017341042</v>
      </c>
      <c r="AX116" t="str">
        <f>AY116&amp;COUNTIF($AY$3:AY116,AY116)</f>
        <v>Lewisham1</v>
      </c>
      <c r="AY116" s="512" t="s">
        <v>282</v>
      </c>
      <c r="AZ116" s="512" t="s">
        <v>355</v>
      </c>
      <c r="BA116" s="514">
        <v>6269.4589999999998</v>
      </c>
    </row>
    <row r="117" spans="1:53">
      <c r="A117" s="274"/>
      <c r="B117" s="274"/>
      <c r="C117" s="274"/>
      <c r="D117" s="274"/>
      <c r="E117" s="274"/>
      <c r="F117" s="274"/>
      <c r="G117" s="274"/>
      <c r="H117" s="274"/>
      <c r="I117" s="274"/>
      <c r="J117" s="274"/>
      <c r="K117" s="274"/>
      <c r="L117" s="274"/>
      <c r="M117" s="274"/>
      <c r="N117" s="274"/>
      <c r="O117" s="274" t="s">
        <v>764</v>
      </c>
      <c r="P117" s="277" t="s">
        <v>408</v>
      </c>
      <c r="Q117" s="275" t="str">
        <f t="shared" si="1"/>
        <v>E08000023</v>
      </c>
      <c r="R117" s="274"/>
      <c r="S117" s="274"/>
      <c r="T117" s="274"/>
      <c r="U117" s="274" t="s">
        <v>409</v>
      </c>
      <c r="V117" s="274" t="s">
        <v>410</v>
      </c>
      <c r="W117" s="276">
        <v>5789</v>
      </c>
      <c r="X117" s="274">
        <v>17226</v>
      </c>
      <c r="Y117" s="274"/>
      <c r="Z117" s="274" t="s">
        <v>763</v>
      </c>
      <c r="AA117" s="277" t="s">
        <v>405</v>
      </c>
      <c r="AB117" s="274" t="s">
        <v>763</v>
      </c>
      <c r="AC117" s="274"/>
      <c r="AD117" s="274"/>
      <c r="AE117" s="274"/>
      <c r="AF117" s="274"/>
      <c r="AG117" s="274"/>
      <c r="AH117" s="274"/>
      <c r="AI117" s="274"/>
      <c r="AJ117" s="274"/>
      <c r="AK117" s="274"/>
      <c r="AL117" s="274"/>
      <c r="AM117" t="s">
        <v>1563</v>
      </c>
      <c r="AN117" s="120"/>
      <c r="AO117" s="120" t="s">
        <v>1295</v>
      </c>
      <c r="AP117" s="502" t="s">
        <v>1295</v>
      </c>
      <c r="AU117" t="s">
        <v>402</v>
      </c>
      <c r="AV117" s="510">
        <v>10134.971098265896</v>
      </c>
      <c r="AX117" t="str">
        <f>AY117&amp;COUNTIF($AY$3:AY117,AY117)</f>
        <v>Lincolnshire1</v>
      </c>
      <c r="AY117" s="513" t="s">
        <v>285</v>
      </c>
      <c r="AZ117" s="513" t="s">
        <v>358</v>
      </c>
      <c r="BA117" s="514">
        <v>4814.6982071428574</v>
      </c>
    </row>
    <row r="118" spans="1:53">
      <c r="A118" s="274"/>
      <c r="B118" s="274"/>
      <c r="C118" s="274"/>
      <c r="D118" s="274"/>
      <c r="E118" s="274"/>
      <c r="F118" s="274"/>
      <c r="G118" s="274"/>
      <c r="H118" s="274"/>
      <c r="I118" s="274"/>
      <c r="J118" s="274"/>
      <c r="K118" s="274"/>
      <c r="L118" s="274"/>
      <c r="M118" s="274"/>
      <c r="N118" s="274"/>
      <c r="O118" s="274" t="s">
        <v>765</v>
      </c>
      <c r="P118" s="277" t="s">
        <v>411</v>
      </c>
      <c r="Q118" s="275" t="str">
        <f t="shared" si="1"/>
        <v>E06000045</v>
      </c>
      <c r="R118" s="274"/>
      <c r="S118" s="274"/>
      <c r="T118" s="274"/>
      <c r="U118" s="274" t="s">
        <v>412</v>
      </c>
      <c r="V118" s="274" t="s">
        <v>413</v>
      </c>
      <c r="W118" s="276">
        <v>6036</v>
      </c>
      <c r="X118" s="274">
        <v>20987</v>
      </c>
      <c r="Y118" s="274"/>
      <c r="Z118" s="274" t="s">
        <v>764</v>
      </c>
      <c r="AA118" s="277" t="s">
        <v>408</v>
      </c>
      <c r="AB118" s="274" t="s">
        <v>764</v>
      </c>
      <c r="AC118" s="274"/>
      <c r="AD118" s="274"/>
      <c r="AE118" s="274"/>
      <c r="AF118" s="274"/>
      <c r="AG118" s="274"/>
      <c r="AH118" s="274"/>
      <c r="AI118" s="274"/>
      <c r="AJ118" s="274"/>
      <c r="AK118" s="274"/>
      <c r="AL118" s="274"/>
      <c r="AM118" t="s">
        <v>1563</v>
      </c>
      <c r="AN118" s="120"/>
      <c r="AO118" s="120" t="s">
        <v>1295</v>
      </c>
      <c r="AP118" s="502" t="s">
        <v>1295</v>
      </c>
      <c r="AU118" t="s">
        <v>405</v>
      </c>
      <c r="AV118" s="510">
        <v>3908.9595375722542</v>
      </c>
      <c r="AX118" t="str">
        <f>AY118&amp;COUNTIF($AY$3:AY118,AY118)</f>
        <v>Lincolnshire2</v>
      </c>
      <c r="AY118" s="513" t="s">
        <v>285</v>
      </c>
      <c r="AZ118" s="513" t="s">
        <v>361</v>
      </c>
      <c r="BA118" s="514">
        <v>5035.2187357142857</v>
      </c>
    </row>
    <row r="119" spans="1:53">
      <c r="A119" s="274"/>
      <c r="B119" s="274"/>
      <c r="C119" s="274"/>
      <c r="D119" s="274"/>
      <c r="E119" s="274"/>
      <c r="F119" s="274"/>
      <c r="G119" s="274"/>
      <c r="H119" s="274"/>
      <c r="I119" s="274"/>
      <c r="J119" s="274"/>
      <c r="K119" s="274"/>
      <c r="L119" s="274"/>
      <c r="M119" s="274"/>
      <c r="N119" s="274"/>
      <c r="O119" s="274" t="s">
        <v>766</v>
      </c>
      <c r="P119" s="277" t="s">
        <v>414</v>
      </c>
      <c r="Q119" s="275" t="str">
        <f t="shared" si="1"/>
        <v>E06000033</v>
      </c>
      <c r="R119" s="274"/>
      <c r="S119" s="274"/>
      <c r="T119" s="274"/>
      <c r="U119" s="274" t="s">
        <v>415</v>
      </c>
      <c r="V119" s="274" t="s">
        <v>416</v>
      </c>
      <c r="W119" s="276">
        <v>3394</v>
      </c>
      <c r="X119" s="274">
        <v>11695</v>
      </c>
      <c r="Y119" s="274"/>
      <c r="Z119" s="274" t="s">
        <v>765</v>
      </c>
      <c r="AA119" s="277" t="s">
        <v>411</v>
      </c>
      <c r="AB119" s="274" t="s">
        <v>765</v>
      </c>
      <c r="AC119" s="274"/>
      <c r="AD119" s="274"/>
      <c r="AE119" s="274"/>
      <c r="AF119" s="274"/>
      <c r="AG119" s="274"/>
      <c r="AH119" s="274"/>
      <c r="AI119" s="274"/>
      <c r="AJ119" s="274"/>
      <c r="AK119" s="274"/>
      <c r="AL119" s="274"/>
      <c r="AM119" t="s">
        <v>1563</v>
      </c>
      <c r="AN119" s="120"/>
      <c r="AO119" s="120" t="s">
        <v>1295</v>
      </c>
      <c r="AP119" s="502" t="s">
        <v>1295</v>
      </c>
      <c r="AU119" t="s">
        <v>408</v>
      </c>
      <c r="AV119" s="510">
        <v>3617.0520231213873</v>
      </c>
      <c r="AX119" t="str">
        <f>AY119&amp;COUNTIF($AY$3:AY119,AY119)</f>
        <v>Lincolnshire3</v>
      </c>
      <c r="AY119" s="513" t="s">
        <v>285</v>
      </c>
      <c r="AZ119" s="513" t="s">
        <v>1219</v>
      </c>
      <c r="BA119" s="514">
        <v>2499.2326571428571</v>
      </c>
    </row>
    <row r="120" spans="1:53">
      <c r="A120" s="274"/>
      <c r="B120" s="274"/>
      <c r="C120" s="274"/>
      <c r="D120" s="274"/>
      <c r="E120" s="274"/>
      <c r="F120" s="274"/>
      <c r="G120" s="274"/>
      <c r="H120" s="274"/>
      <c r="I120" s="274"/>
      <c r="J120" s="274"/>
      <c r="K120" s="274"/>
      <c r="L120" s="274"/>
      <c r="M120" s="274"/>
      <c r="N120" s="274"/>
      <c r="O120" s="274" t="s">
        <v>767</v>
      </c>
      <c r="P120" s="277" t="s">
        <v>417</v>
      </c>
      <c r="Q120" s="275" t="str">
        <f t="shared" si="1"/>
        <v>E09000028</v>
      </c>
      <c r="R120" s="274"/>
      <c r="S120" s="274"/>
      <c r="T120" s="274"/>
      <c r="U120" s="274" t="s">
        <v>418</v>
      </c>
      <c r="V120" s="274" t="s">
        <v>419</v>
      </c>
      <c r="W120" s="276">
        <v>3574</v>
      </c>
      <c r="X120" s="274">
        <v>11246</v>
      </c>
      <c r="Y120" s="274"/>
      <c r="Z120" s="274" t="s">
        <v>766</v>
      </c>
      <c r="AA120" s="277" t="s">
        <v>414</v>
      </c>
      <c r="AB120" s="274" t="s">
        <v>766</v>
      </c>
      <c r="AC120" s="274"/>
      <c r="AD120" s="274"/>
      <c r="AE120" s="274"/>
      <c r="AF120" s="274"/>
      <c r="AG120" s="274"/>
      <c r="AH120" s="274"/>
      <c r="AI120" s="274"/>
      <c r="AJ120" s="274"/>
      <c r="AK120" s="274"/>
      <c r="AL120" s="274"/>
      <c r="AM120" t="s">
        <v>1563</v>
      </c>
      <c r="AN120" s="120"/>
      <c r="AO120" s="120" t="s">
        <v>1295</v>
      </c>
      <c r="AP120" s="502" t="s">
        <v>1295</v>
      </c>
      <c r="AU120" t="s">
        <v>411</v>
      </c>
      <c r="AV120" s="510">
        <v>4429.1907514450868</v>
      </c>
      <c r="AX120" t="str">
        <f>AY120&amp;COUNTIF($AY$3:AY120,AY120)</f>
        <v>Lincolnshire4</v>
      </c>
      <c r="AY120" s="513" t="s">
        <v>285</v>
      </c>
      <c r="AZ120" s="513" t="s">
        <v>527</v>
      </c>
      <c r="BA120" s="514">
        <v>3087.2874000000002</v>
      </c>
    </row>
    <row r="121" spans="1:53">
      <c r="A121" s="274"/>
      <c r="B121" s="274"/>
      <c r="C121" s="274"/>
      <c r="D121" s="274"/>
      <c r="E121" s="274"/>
      <c r="F121" s="274"/>
      <c r="G121" s="274"/>
      <c r="H121" s="274"/>
      <c r="I121" s="274"/>
      <c r="J121" s="274"/>
      <c r="K121" s="274"/>
      <c r="L121" s="274"/>
      <c r="M121" s="274"/>
      <c r="N121" s="274"/>
      <c r="O121" s="274" t="s">
        <v>768</v>
      </c>
      <c r="P121" s="277" t="s">
        <v>420</v>
      </c>
      <c r="Q121" s="275" t="str">
        <f t="shared" si="1"/>
        <v>E08000013</v>
      </c>
      <c r="R121" s="274"/>
      <c r="S121" s="274"/>
      <c r="T121" s="274"/>
      <c r="U121" s="274" t="s">
        <v>421</v>
      </c>
      <c r="V121" s="274" t="s">
        <v>422</v>
      </c>
      <c r="W121" s="276">
        <v>3588</v>
      </c>
      <c r="X121" s="274">
        <v>11391</v>
      </c>
      <c r="Y121" s="274"/>
      <c r="Z121" s="274" t="s">
        <v>767</v>
      </c>
      <c r="AA121" s="277" t="s">
        <v>417</v>
      </c>
      <c r="AB121" s="274" t="s">
        <v>767</v>
      </c>
      <c r="AC121" s="274"/>
      <c r="AD121" s="274"/>
      <c r="AE121" s="274"/>
      <c r="AF121" s="274"/>
      <c r="AG121" s="274"/>
      <c r="AH121" s="274"/>
      <c r="AI121" s="274"/>
      <c r="AJ121" s="274"/>
      <c r="AK121" s="274"/>
      <c r="AL121" s="274"/>
      <c r="AM121" t="s">
        <v>1563</v>
      </c>
      <c r="AN121" s="120"/>
      <c r="AO121" s="120" t="s">
        <v>1295</v>
      </c>
      <c r="AP121" s="502" t="s">
        <v>1295</v>
      </c>
      <c r="AU121" t="s">
        <v>414</v>
      </c>
      <c r="AV121" s="510">
        <v>3358.092485549133</v>
      </c>
      <c r="AX121" t="str">
        <f>AY121&amp;COUNTIF($AY$3:AY121,AY121)</f>
        <v>Liverpool1</v>
      </c>
      <c r="AY121" s="512" t="s">
        <v>288</v>
      </c>
      <c r="AZ121" s="512" t="s">
        <v>364</v>
      </c>
      <c r="BA121" s="514">
        <v>13553.41</v>
      </c>
    </row>
    <row r="122" spans="1:53">
      <c r="A122" s="274"/>
      <c r="B122" s="274"/>
      <c r="C122" s="274"/>
      <c r="D122" s="274"/>
      <c r="E122" s="274"/>
      <c r="F122" s="274"/>
      <c r="G122" s="274"/>
      <c r="H122" s="274"/>
      <c r="I122" s="274"/>
      <c r="J122" s="274"/>
      <c r="K122" s="274"/>
      <c r="L122" s="274"/>
      <c r="M122" s="274"/>
      <c r="N122" s="274"/>
      <c r="O122" s="274" t="s">
        <v>769</v>
      </c>
      <c r="P122" s="277" t="s">
        <v>423</v>
      </c>
      <c r="Q122" s="275" t="str">
        <f t="shared" si="1"/>
        <v>E10000028</v>
      </c>
      <c r="R122" s="274"/>
      <c r="S122" s="274"/>
      <c r="T122" s="274"/>
      <c r="U122" s="274" t="s">
        <v>424</v>
      </c>
      <c r="V122" s="274" t="s">
        <v>425</v>
      </c>
      <c r="W122" s="276">
        <v>3785</v>
      </c>
      <c r="X122" s="274">
        <v>11858</v>
      </c>
      <c r="Y122" s="274"/>
      <c r="Z122" s="274" t="s">
        <v>768</v>
      </c>
      <c r="AA122" s="277" t="s">
        <v>420</v>
      </c>
      <c r="AB122" s="274" t="s">
        <v>768</v>
      </c>
      <c r="AC122" s="274"/>
      <c r="AD122" s="274"/>
      <c r="AE122" s="274"/>
      <c r="AF122" s="274"/>
      <c r="AG122" s="274"/>
      <c r="AH122" s="274"/>
      <c r="AI122" s="274"/>
      <c r="AJ122" s="274"/>
      <c r="AK122" s="274"/>
      <c r="AL122" s="274"/>
      <c r="AM122" t="s">
        <v>1615</v>
      </c>
      <c r="AN122" s="447" t="s">
        <v>209</v>
      </c>
      <c r="AO122" s="447" t="s">
        <v>277</v>
      </c>
      <c r="AP122" s="501">
        <v>16473</v>
      </c>
      <c r="AU122" t="s">
        <v>417</v>
      </c>
      <c r="AV122" s="510">
        <v>5918.4971098265896</v>
      </c>
      <c r="AX122" t="str">
        <f>AY122&amp;COUNTIF($AY$3:AY122,AY122)</f>
        <v>Luton1</v>
      </c>
      <c r="AY122" s="512" t="s">
        <v>291</v>
      </c>
      <c r="AZ122" s="512" t="s">
        <v>367</v>
      </c>
      <c r="BA122" s="514">
        <v>3612.2379999999998</v>
      </c>
    </row>
    <row r="123" spans="1:53">
      <c r="A123" s="274"/>
      <c r="B123" s="274"/>
      <c r="C123" s="274"/>
      <c r="D123" s="274"/>
      <c r="E123" s="274"/>
      <c r="F123" s="274"/>
      <c r="G123" s="274"/>
      <c r="H123" s="274"/>
      <c r="I123" s="274"/>
      <c r="J123" s="274"/>
      <c r="K123" s="274"/>
      <c r="L123" s="274"/>
      <c r="M123" s="274"/>
      <c r="N123" s="274"/>
      <c r="O123" s="274" t="s">
        <v>770</v>
      </c>
      <c r="P123" s="277" t="s">
        <v>426</v>
      </c>
      <c r="Q123" s="275" t="str">
        <f t="shared" si="1"/>
        <v>E08000007</v>
      </c>
      <c r="R123" s="274"/>
      <c r="S123" s="274"/>
      <c r="T123" s="274"/>
      <c r="U123" s="274" t="s">
        <v>427</v>
      </c>
      <c r="V123" s="274" t="s">
        <v>428</v>
      </c>
      <c r="W123" s="276">
        <v>3489</v>
      </c>
      <c r="X123" s="274">
        <v>11006</v>
      </c>
      <c r="Y123" s="274"/>
      <c r="Z123" s="274" t="s">
        <v>769</v>
      </c>
      <c r="AA123" s="277" t="s">
        <v>423</v>
      </c>
      <c r="AB123" s="274" t="s">
        <v>769</v>
      </c>
      <c r="AC123" s="274"/>
      <c r="AD123" s="274"/>
      <c r="AE123" s="274"/>
      <c r="AF123" s="274"/>
      <c r="AG123" s="274"/>
      <c r="AH123" s="274"/>
      <c r="AI123" s="274"/>
      <c r="AJ123" s="274"/>
      <c r="AK123" s="274"/>
      <c r="AL123" s="274"/>
      <c r="AM123" t="s">
        <v>1616</v>
      </c>
      <c r="AN123" s="120" t="s">
        <v>212</v>
      </c>
      <c r="AO123" s="120" t="s">
        <v>283</v>
      </c>
      <c r="AP123" s="502">
        <v>13183</v>
      </c>
      <c r="AU123" t="s">
        <v>420</v>
      </c>
      <c r="AV123" s="510">
        <v>4099.4219653179189</v>
      </c>
      <c r="AX123" t="str">
        <f>AY123&amp;COUNTIF($AY$3:AY123,AY123)</f>
        <v>Manchester1</v>
      </c>
      <c r="AY123" s="513" t="s">
        <v>294</v>
      </c>
      <c r="AZ123" s="513" t="s">
        <v>137</v>
      </c>
      <c r="BA123" s="514">
        <v>3943.1381028368796</v>
      </c>
    </row>
    <row r="124" spans="1:53">
      <c r="A124" s="274"/>
      <c r="B124" s="274"/>
      <c r="C124" s="274"/>
      <c r="D124" s="274"/>
      <c r="E124" s="274"/>
      <c r="F124" s="274"/>
      <c r="G124" s="274"/>
      <c r="H124" s="274"/>
      <c r="I124" s="274"/>
      <c r="J124" s="274"/>
      <c r="K124" s="274"/>
      <c r="L124" s="274"/>
      <c r="M124" s="274"/>
      <c r="N124" s="274"/>
      <c r="O124" s="274" t="s">
        <v>771</v>
      </c>
      <c r="P124" s="277" t="s">
        <v>429</v>
      </c>
      <c r="Q124" s="275" t="str">
        <f t="shared" si="1"/>
        <v>E06000004</v>
      </c>
      <c r="R124" s="274"/>
      <c r="S124" s="274"/>
      <c r="T124" s="274"/>
      <c r="U124" s="274" t="s">
        <v>430</v>
      </c>
      <c r="V124" s="274" t="s">
        <v>431</v>
      </c>
      <c r="W124" s="276">
        <v>4160</v>
      </c>
      <c r="X124" s="274">
        <v>13436</v>
      </c>
      <c r="Y124" s="274"/>
      <c r="Z124" s="274" t="s">
        <v>770</v>
      </c>
      <c r="AA124" s="277" t="s">
        <v>426</v>
      </c>
      <c r="AB124" s="274" t="s">
        <v>770</v>
      </c>
      <c r="AC124" s="274"/>
      <c r="AD124" s="274"/>
      <c r="AE124" s="274"/>
      <c r="AF124" s="274"/>
      <c r="AG124" s="274"/>
      <c r="AH124" s="274"/>
      <c r="AI124" s="274"/>
      <c r="AJ124" s="274"/>
      <c r="AK124" s="274"/>
      <c r="AL124" s="274"/>
      <c r="AM124" t="s">
        <v>1617</v>
      </c>
      <c r="AN124" s="447" t="s">
        <v>215</v>
      </c>
      <c r="AO124" s="447" t="s">
        <v>1226</v>
      </c>
      <c r="AP124" s="501">
        <v>6651</v>
      </c>
      <c r="AU124" t="s">
        <v>423</v>
      </c>
      <c r="AV124" s="510">
        <v>14535.838150289017</v>
      </c>
      <c r="AX124" t="str">
        <f>AY124&amp;COUNTIF($AY$3:AY124,AY124)</f>
        <v>Manchester2</v>
      </c>
      <c r="AY124" s="513" t="s">
        <v>294</v>
      </c>
      <c r="AZ124" s="513" t="s">
        <v>430</v>
      </c>
      <c r="BA124" s="514">
        <v>4159.7940425531915</v>
      </c>
    </row>
    <row r="125" spans="1:53">
      <c r="A125" s="274"/>
      <c r="B125" s="274"/>
      <c r="C125" s="274"/>
      <c r="D125" s="274"/>
      <c r="E125" s="274"/>
      <c r="F125" s="274"/>
      <c r="G125" s="274"/>
      <c r="H125" s="274"/>
      <c r="I125" s="274"/>
      <c r="J125" s="274"/>
      <c r="K125" s="274"/>
      <c r="L125" s="274"/>
      <c r="M125" s="274"/>
      <c r="N125" s="274"/>
      <c r="O125" s="274" t="s">
        <v>772</v>
      </c>
      <c r="P125" s="277" t="s">
        <v>432</v>
      </c>
      <c r="Q125" s="275" t="str">
        <f t="shared" si="1"/>
        <v>E06000021</v>
      </c>
      <c r="R125" s="274"/>
      <c r="S125" s="274"/>
      <c r="T125" s="274"/>
      <c r="U125" s="274" t="s">
        <v>433</v>
      </c>
      <c r="V125" s="274" t="s">
        <v>434</v>
      </c>
      <c r="W125" s="276">
        <v>3809</v>
      </c>
      <c r="X125" s="274">
        <v>11553</v>
      </c>
      <c r="Y125" s="274"/>
      <c r="Z125" s="274" t="s">
        <v>771</v>
      </c>
      <c r="AA125" s="277" t="s">
        <v>429</v>
      </c>
      <c r="AB125" s="274" t="s">
        <v>771</v>
      </c>
      <c r="AC125" s="274"/>
      <c r="AD125" s="274"/>
      <c r="AE125" s="274"/>
      <c r="AF125" s="274"/>
      <c r="AG125" s="274"/>
      <c r="AH125" s="274"/>
      <c r="AI125" s="274"/>
      <c r="AJ125" s="274"/>
      <c r="AK125" s="274"/>
      <c r="AL125" s="274"/>
      <c r="AM125" t="s">
        <v>1618</v>
      </c>
      <c r="AN125" s="120" t="s">
        <v>219</v>
      </c>
      <c r="AO125" s="120" t="s">
        <v>292</v>
      </c>
      <c r="AP125" s="502">
        <v>15495</v>
      </c>
      <c r="AU125" t="s">
        <v>426</v>
      </c>
      <c r="AV125" s="510">
        <v>5319.0751445086707</v>
      </c>
      <c r="AX125" t="str">
        <f>AY125&amp;COUNTIF($AY$3:AY125,AY125)</f>
        <v>Manchester3</v>
      </c>
      <c r="AY125" s="513" t="s">
        <v>294</v>
      </c>
      <c r="AZ125" s="513" t="s">
        <v>529</v>
      </c>
      <c r="BA125" s="514">
        <v>4116.4628546099293</v>
      </c>
    </row>
    <row r="126" spans="1:53">
      <c r="A126" s="274"/>
      <c r="B126" s="274"/>
      <c r="C126" s="274"/>
      <c r="D126" s="274"/>
      <c r="E126" s="274"/>
      <c r="F126" s="274"/>
      <c r="G126" s="274"/>
      <c r="H126" s="274"/>
      <c r="I126" s="274"/>
      <c r="J126" s="274"/>
      <c r="K126" s="274"/>
      <c r="L126" s="274"/>
      <c r="M126" s="274"/>
      <c r="N126" s="274"/>
      <c r="O126" s="274" t="s">
        <v>773</v>
      </c>
      <c r="P126" s="277" t="s">
        <v>435</v>
      </c>
      <c r="Q126" s="275" t="str">
        <f t="shared" si="1"/>
        <v>E10000029</v>
      </c>
      <c r="R126" s="274"/>
      <c r="S126" s="274"/>
      <c r="T126" s="274"/>
      <c r="U126" s="274" t="s">
        <v>436</v>
      </c>
      <c r="V126" s="274" t="s">
        <v>437</v>
      </c>
      <c r="W126" s="276">
        <v>4235</v>
      </c>
      <c r="X126" s="274">
        <v>13223</v>
      </c>
      <c r="Y126" s="274"/>
      <c r="Z126" s="274" t="s">
        <v>772</v>
      </c>
      <c r="AA126" s="277" t="s">
        <v>432</v>
      </c>
      <c r="AB126" s="274" t="s">
        <v>772</v>
      </c>
      <c r="AC126" s="274"/>
      <c r="AD126" s="274"/>
      <c r="AE126" s="274"/>
      <c r="AF126" s="274"/>
      <c r="AG126" s="274"/>
      <c r="AH126" s="274"/>
      <c r="AI126" s="274"/>
      <c r="AJ126" s="274"/>
      <c r="AK126" s="274"/>
      <c r="AL126" s="274"/>
      <c r="AM126" t="s">
        <v>1619</v>
      </c>
      <c r="AN126" s="447" t="s">
        <v>223</v>
      </c>
      <c r="AO126" s="447" t="s">
        <v>295</v>
      </c>
      <c r="AP126" s="501">
        <v>11694</v>
      </c>
      <c r="AU126" t="s">
        <v>429</v>
      </c>
      <c r="AV126" s="510">
        <v>3723.1213872832368</v>
      </c>
      <c r="AX126" t="str">
        <f>AY126&amp;COUNTIF($AY$3:AY126,AY126)</f>
        <v>Medway1</v>
      </c>
      <c r="AY126" s="512" t="s">
        <v>297</v>
      </c>
      <c r="AZ126" s="512" t="s">
        <v>373</v>
      </c>
      <c r="BA126" s="514">
        <v>4573.5770000000002</v>
      </c>
    </row>
    <row r="127" spans="1:53">
      <c r="A127" s="274"/>
      <c r="B127" s="274"/>
      <c r="C127" s="274"/>
      <c r="D127" s="274"/>
      <c r="E127" s="274"/>
      <c r="F127" s="274"/>
      <c r="G127" s="274"/>
      <c r="H127" s="274"/>
      <c r="I127" s="274"/>
      <c r="J127" s="274"/>
      <c r="K127" s="274"/>
      <c r="L127" s="274"/>
      <c r="M127" s="274"/>
      <c r="N127" s="274"/>
      <c r="O127" s="274" t="s">
        <v>774</v>
      </c>
      <c r="P127" s="277" t="s">
        <v>438</v>
      </c>
      <c r="Q127" s="275" t="str">
        <f t="shared" si="1"/>
        <v>E08000024</v>
      </c>
      <c r="R127" s="274"/>
      <c r="S127" s="274"/>
      <c r="T127" s="274"/>
      <c r="U127" s="274" t="s">
        <v>439</v>
      </c>
      <c r="V127" s="274" t="s">
        <v>440</v>
      </c>
      <c r="W127" s="276">
        <v>4120</v>
      </c>
      <c r="X127" s="274">
        <v>13399</v>
      </c>
      <c r="Y127" s="274"/>
      <c r="Z127" s="274" t="s">
        <v>773</v>
      </c>
      <c r="AA127" s="277" t="s">
        <v>435</v>
      </c>
      <c r="AB127" s="274" t="s">
        <v>773</v>
      </c>
      <c r="AC127" s="274"/>
      <c r="AD127" s="274"/>
      <c r="AE127" s="274"/>
      <c r="AF127" s="274"/>
      <c r="AG127" s="274"/>
      <c r="AH127" s="274"/>
      <c r="AI127" s="274"/>
      <c r="AJ127" s="274"/>
      <c r="AK127" s="274"/>
      <c r="AL127" s="274"/>
      <c r="AM127" t="s">
        <v>1620</v>
      </c>
      <c r="AN127" s="120" t="s">
        <v>227</v>
      </c>
      <c r="AO127" s="120" t="s">
        <v>298</v>
      </c>
      <c r="AP127" s="502">
        <v>33164</v>
      </c>
      <c r="AU127" t="s">
        <v>432</v>
      </c>
      <c r="AV127" s="510">
        <v>5323.4104046242774</v>
      </c>
      <c r="AX127" t="str">
        <f>AY127&amp;COUNTIF($AY$3:AY127,AY127)</f>
        <v>Merton1</v>
      </c>
      <c r="AY127" s="512" t="s">
        <v>300</v>
      </c>
      <c r="AZ127" s="512" t="s">
        <v>376</v>
      </c>
      <c r="BA127" s="514">
        <v>3427.92</v>
      </c>
    </row>
    <row r="128" spans="1:53">
      <c r="A128" s="274"/>
      <c r="B128" s="274"/>
      <c r="C128" s="274"/>
      <c r="D128" s="274"/>
      <c r="E128" s="274"/>
      <c r="F128" s="274"/>
      <c r="G128" s="274"/>
      <c r="H128" s="274"/>
      <c r="I128" s="274"/>
      <c r="J128" s="274"/>
      <c r="K128" s="274"/>
      <c r="L128" s="274"/>
      <c r="M128" s="274"/>
      <c r="N128" s="274"/>
      <c r="O128" s="274" t="s">
        <v>775</v>
      </c>
      <c r="P128" s="277" t="s">
        <v>441</v>
      </c>
      <c r="Q128" s="275" t="str">
        <f t="shared" si="1"/>
        <v>E10000030</v>
      </c>
      <c r="R128" s="274"/>
      <c r="S128" s="274"/>
      <c r="T128" s="274"/>
      <c r="U128" s="274" t="s">
        <v>442</v>
      </c>
      <c r="V128" s="274" t="s">
        <v>443</v>
      </c>
      <c r="W128" s="276">
        <v>4726</v>
      </c>
      <c r="X128" s="274">
        <v>15233</v>
      </c>
      <c r="Y128" s="274"/>
      <c r="Z128" s="274" t="s">
        <v>774</v>
      </c>
      <c r="AA128" s="277" t="s">
        <v>438</v>
      </c>
      <c r="AB128" s="274" t="s">
        <v>774</v>
      </c>
      <c r="AC128" s="274"/>
      <c r="AD128" s="274"/>
      <c r="AE128" s="274"/>
      <c r="AF128" s="274"/>
      <c r="AG128" s="274"/>
      <c r="AH128" s="274"/>
      <c r="AI128" s="274"/>
      <c r="AJ128" s="274"/>
      <c r="AK128" s="274"/>
      <c r="AL128" s="274"/>
      <c r="AM128" t="s">
        <v>1621</v>
      </c>
      <c r="AN128" s="120" t="s">
        <v>227</v>
      </c>
      <c r="AO128" s="120" t="s">
        <v>199</v>
      </c>
      <c r="AP128" s="502">
        <v>31426</v>
      </c>
      <c r="AU128" t="s">
        <v>435</v>
      </c>
      <c r="AV128" s="510">
        <v>13151.156069364162</v>
      </c>
      <c r="AX128" t="str">
        <f>AY128&amp;COUNTIF($AY$3:AY128,AY128)</f>
        <v>Middlesbrough1</v>
      </c>
      <c r="AY128" s="512" t="s">
        <v>303</v>
      </c>
      <c r="AZ128" s="512" t="s">
        <v>537</v>
      </c>
      <c r="BA128" s="514">
        <v>3473.88</v>
      </c>
    </row>
    <row r="129" spans="1:53">
      <c r="A129" s="274"/>
      <c r="B129" s="274"/>
      <c r="C129" s="274"/>
      <c r="D129" s="274"/>
      <c r="E129" s="274"/>
      <c r="F129" s="274"/>
      <c r="G129" s="274"/>
      <c r="H129" s="274"/>
      <c r="I129" s="274"/>
      <c r="J129" s="274"/>
      <c r="K129" s="274"/>
      <c r="L129" s="274"/>
      <c r="M129" s="274"/>
      <c r="N129" s="274"/>
      <c r="O129" s="274" t="s">
        <v>776</v>
      </c>
      <c r="P129" s="277" t="s">
        <v>444</v>
      </c>
      <c r="Q129" s="275" t="str">
        <f t="shared" si="1"/>
        <v>E09000029</v>
      </c>
      <c r="R129" s="274"/>
      <c r="S129" s="274"/>
      <c r="T129" s="274"/>
      <c r="U129" s="274" t="s">
        <v>445</v>
      </c>
      <c r="V129" s="274" t="s">
        <v>446</v>
      </c>
      <c r="W129" s="276">
        <v>5475</v>
      </c>
      <c r="X129" s="274">
        <v>19808</v>
      </c>
      <c r="Y129" s="274"/>
      <c r="Z129" s="274" t="s">
        <v>775</v>
      </c>
      <c r="AA129" s="277" t="s">
        <v>441</v>
      </c>
      <c r="AB129" s="274" t="s">
        <v>775</v>
      </c>
      <c r="AC129" s="274"/>
      <c r="AD129" s="274"/>
      <c r="AE129" s="274"/>
      <c r="AF129" s="274"/>
      <c r="AG129" s="274"/>
      <c r="AH129" s="274"/>
      <c r="AI129" s="274"/>
      <c r="AJ129" s="274"/>
      <c r="AK129" s="274"/>
      <c r="AL129" s="274"/>
      <c r="AM129" t="s">
        <v>1622</v>
      </c>
      <c r="AN129" s="120" t="s">
        <v>227</v>
      </c>
      <c r="AO129" s="120" t="s">
        <v>115</v>
      </c>
      <c r="AP129" s="502">
        <v>1000</v>
      </c>
      <c r="AU129" t="s">
        <v>438</v>
      </c>
      <c r="AV129" s="510">
        <v>6483.2369942196528</v>
      </c>
      <c r="AX129" t="str">
        <f>AY129&amp;COUNTIF($AY$3:AY129,AY129)</f>
        <v>Milton Keynes1</v>
      </c>
      <c r="AY129" s="512" t="s">
        <v>306</v>
      </c>
      <c r="AZ129" s="512" t="s">
        <v>382</v>
      </c>
      <c r="BA129" s="514">
        <v>4162.0240000000003</v>
      </c>
    </row>
    <row r="130" spans="1:53">
      <c r="A130" s="274"/>
      <c r="B130" s="274"/>
      <c r="C130" s="274"/>
      <c r="D130" s="274"/>
      <c r="E130" s="274"/>
      <c r="F130" s="274"/>
      <c r="G130" s="274"/>
      <c r="H130" s="274"/>
      <c r="I130" s="274"/>
      <c r="J130" s="274"/>
      <c r="K130" s="274"/>
      <c r="L130" s="274"/>
      <c r="M130" s="274"/>
      <c r="N130" s="274"/>
      <c r="O130" s="274" t="s">
        <v>777</v>
      </c>
      <c r="P130" s="277" t="s">
        <v>447</v>
      </c>
      <c r="Q130" s="275" t="str">
        <f t="shared" si="1"/>
        <v>E06000030</v>
      </c>
      <c r="R130" s="274"/>
      <c r="S130" s="274"/>
      <c r="T130" s="274"/>
      <c r="U130" s="274" t="s">
        <v>448</v>
      </c>
      <c r="V130" s="274" t="s">
        <v>449</v>
      </c>
      <c r="W130" s="276">
        <v>18974</v>
      </c>
      <c r="X130" s="274">
        <v>57737</v>
      </c>
      <c r="Y130" s="274"/>
      <c r="Z130" s="274" t="s">
        <v>776</v>
      </c>
      <c r="AA130" s="277" t="s">
        <v>444</v>
      </c>
      <c r="AB130" s="274" t="s">
        <v>776</v>
      </c>
      <c r="AC130" s="274"/>
      <c r="AD130" s="274"/>
      <c r="AE130" s="274"/>
      <c r="AF130" s="274"/>
      <c r="AG130" s="274"/>
      <c r="AH130" s="274"/>
      <c r="AI130" s="274"/>
      <c r="AJ130" s="274"/>
      <c r="AK130" s="274"/>
      <c r="AL130" s="274"/>
      <c r="AM130" t="s">
        <v>1563</v>
      </c>
      <c r="AN130" s="120"/>
      <c r="AO130" s="120" t="s">
        <v>1295</v>
      </c>
      <c r="AP130" s="502" t="s">
        <v>1295</v>
      </c>
      <c r="AU130" t="s">
        <v>441</v>
      </c>
      <c r="AV130" s="510">
        <v>18923.410404624276</v>
      </c>
      <c r="AX130" t="str">
        <f>AY130&amp;COUNTIF($AY$3:AY130,AY130)</f>
        <v>Newcastle upon Tyne1</v>
      </c>
      <c r="AY130" s="513" t="s">
        <v>309</v>
      </c>
      <c r="AZ130" s="513" t="s">
        <v>394</v>
      </c>
      <c r="BA130" s="514">
        <v>3341.1353142857142</v>
      </c>
    </row>
    <row r="131" spans="1:53">
      <c r="A131" s="274"/>
      <c r="B131" s="274"/>
      <c r="C131" s="274"/>
      <c r="D131" s="274"/>
      <c r="E131" s="274"/>
      <c r="F131" s="274"/>
      <c r="G131" s="274"/>
      <c r="H131" s="274"/>
      <c r="I131" s="274"/>
      <c r="J131" s="274"/>
      <c r="K131" s="274"/>
      <c r="L131" s="274"/>
      <c r="M131" s="274"/>
      <c r="N131" s="274"/>
      <c r="O131" s="274" t="s">
        <v>778</v>
      </c>
      <c r="P131" s="277" t="s">
        <v>450</v>
      </c>
      <c r="Q131" s="275" t="str">
        <f t="shared" si="1"/>
        <v>E08000008</v>
      </c>
      <c r="R131" s="274"/>
      <c r="S131" s="274"/>
      <c r="T131" s="274"/>
      <c r="U131" s="274" t="s">
        <v>451</v>
      </c>
      <c r="V131" s="274" t="s">
        <v>452</v>
      </c>
      <c r="W131" s="276">
        <v>6973</v>
      </c>
      <c r="X131" s="274">
        <v>22267</v>
      </c>
      <c r="Y131" s="274"/>
      <c r="Z131" s="274" t="s">
        <v>777</v>
      </c>
      <c r="AA131" s="277" t="s">
        <v>447</v>
      </c>
      <c r="AB131" s="274" t="s">
        <v>777</v>
      </c>
      <c r="AC131" s="274"/>
      <c r="AD131" s="274"/>
      <c r="AE131" s="274"/>
      <c r="AF131" s="274"/>
      <c r="AG131" s="274"/>
      <c r="AH131" s="274"/>
      <c r="AI131" s="274"/>
      <c r="AJ131" s="274"/>
      <c r="AK131" s="274"/>
      <c r="AL131" s="274"/>
      <c r="AM131" t="s">
        <v>1563</v>
      </c>
      <c r="AN131" s="120"/>
      <c r="AO131" s="120" t="s">
        <v>1295</v>
      </c>
      <c r="AP131" s="502" t="s">
        <v>1295</v>
      </c>
      <c r="AU131" t="s">
        <v>444</v>
      </c>
      <c r="AV131" s="510">
        <v>3206.9364161849712</v>
      </c>
      <c r="AX131" t="str">
        <f>AY131&amp;COUNTIF($AY$3:AY131,AY131)</f>
        <v>Newcastle upon Tyne2</v>
      </c>
      <c r="AY131" s="513" t="s">
        <v>309</v>
      </c>
      <c r="AZ131" s="513" t="s">
        <v>397</v>
      </c>
      <c r="BA131" s="514">
        <v>3537.6726857142853</v>
      </c>
    </row>
    <row r="132" spans="1:53">
      <c r="A132" s="274"/>
      <c r="B132" s="274"/>
      <c r="C132" s="274"/>
      <c r="D132" s="274"/>
      <c r="E132" s="274"/>
      <c r="F132" s="274"/>
      <c r="G132" s="274"/>
      <c r="H132" s="274"/>
      <c r="I132" s="274"/>
      <c r="J132" s="274"/>
      <c r="K132" s="274"/>
      <c r="L132" s="274"/>
      <c r="M132" s="274"/>
      <c r="N132" s="274"/>
      <c r="O132" s="274" t="s">
        <v>779</v>
      </c>
      <c r="P132" s="277" t="s">
        <v>453</v>
      </c>
      <c r="Q132" s="275" t="str">
        <f t="shared" ref="Q132:Q153" si="2">O132</f>
        <v>E06000020</v>
      </c>
      <c r="R132" s="274"/>
      <c r="S132" s="274"/>
      <c r="T132" s="274"/>
      <c r="U132" s="274" t="s">
        <v>454</v>
      </c>
      <c r="V132" s="274" t="s">
        <v>455</v>
      </c>
      <c r="W132" s="276">
        <v>4343</v>
      </c>
      <c r="X132" s="274">
        <v>12245</v>
      </c>
      <c r="Y132" s="274"/>
      <c r="Z132" s="274" t="s">
        <v>778</v>
      </c>
      <c r="AA132" s="277" t="s">
        <v>450</v>
      </c>
      <c r="AB132" s="274" t="s">
        <v>778</v>
      </c>
      <c r="AC132" s="274"/>
      <c r="AD132" s="274"/>
      <c r="AE132" s="274"/>
      <c r="AF132" s="274"/>
      <c r="AG132" s="274"/>
      <c r="AH132" s="274"/>
      <c r="AI132" s="274"/>
      <c r="AJ132" s="274"/>
      <c r="AK132" s="274"/>
      <c r="AL132" s="274"/>
      <c r="AM132" t="s">
        <v>1563</v>
      </c>
      <c r="AN132" s="120"/>
      <c r="AO132" s="120" t="s">
        <v>1295</v>
      </c>
      <c r="AP132" s="502" t="s">
        <v>1295</v>
      </c>
      <c r="AU132" t="s">
        <v>447</v>
      </c>
      <c r="AV132" s="510">
        <v>3396.8208092485547</v>
      </c>
      <c r="AX132" t="str">
        <f>AY132&amp;COUNTIF($AY$3:AY132,AY132)</f>
        <v>Newham1</v>
      </c>
      <c r="AY132" s="512" t="s">
        <v>312</v>
      </c>
      <c r="AZ132" s="512" t="s">
        <v>400</v>
      </c>
      <c r="BA132" s="514">
        <v>6730.2259999999997</v>
      </c>
    </row>
    <row r="133" spans="1:53">
      <c r="A133" s="274"/>
      <c r="B133" s="274"/>
      <c r="C133" s="274"/>
      <c r="D133" s="274"/>
      <c r="E133" s="274"/>
      <c r="F133" s="274"/>
      <c r="G133" s="274"/>
      <c r="H133" s="274"/>
      <c r="I133" s="274"/>
      <c r="J133" s="274"/>
      <c r="K133" s="274"/>
      <c r="L133" s="274"/>
      <c r="M133" s="274"/>
      <c r="N133" s="274"/>
      <c r="O133" s="274" t="s">
        <v>780</v>
      </c>
      <c r="P133" s="277" t="s">
        <v>456</v>
      </c>
      <c r="Q133" s="275" t="str">
        <f t="shared" si="2"/>
        <v>E06000034</v>
      </c>
      <c r="R133" s="274"/>
      <c r="S133" s="274"/>
      <c r="T133" s="274"/>
      <c r="U133" s="274" t="s">
        <v>457</v>
      </c>
      <c r="V133" s="274" t="s">
        <v>458</v>
      </c>
      <c r="W133" s="276">
        <v>7104</v>
      </c>
      <c r="X133" s="274">
        <v>21421</v>
      </c>
      <c r="Y133" s="274"/>
      <c r="Z133" s="274" t="s">
        <v>779</v>
      </c>
      <c r="AA133" s="277" t="s">
        <v>453</v>
      </c>
      <c r="AB133" s="274" t="s">
        <v>779</v>
      </c>
      <c r="AC133" s="274"/>
      <c r="AD133" s="274"/>
      <c r="AE133" s="274"/>
      <c r="AF133" s="274"/>
      <c r="AG133" s="274"/>
      <c r="AH133" s="274"/>
      <c r="AI133" s="274"/>
      <c r="AJ133" s="274"/>
      <c r="AK133" s="274"/>
      <c r="AL133" s="274"/>
      <c r="AM133" t="s">
        <v>1563</v>
      </c>
      <c r="AN133" s="120"/>
      <c r="AO133" s="120" t="s">
        <v>1295</v>
      </c>
      <c r="AP133" s="502" t="s">
        <v>1295</v>
      </c>
      <c r="AU133" t="s">
        <v>450</v>
      </c>
      <c r="AV133" s="510">
        <v>4375.722543352601</v>
      </c>
      <c r="AX133" t="str">
        <f>AY133&amp;COUNTIF($AY$3:AY133,AY133)</f>
        <v>Norfolk1</v>
      </c>
      <c r="AY133" s="513" t="s">
        <v>315</v>
      </c>
      <c r="AZ133" s="513" t="s">
        <v>1214</v>
      </c>
      <c r="BA133" s="514">
        <v>2171.5403605947959</v>
      </c>
    </row>
    <row r="134" spans="1:53">
      <c r="A134" s="274"/>
      <c r="B134" s="274"/>
      <c r="C134" s="274"/>
      <c r="D134" s="274"/>
      <c r="E134" s="274"/>
      <c r="F134" s="274"/>
      <c r="G134" s="274"/>
      <c r="H134" s="274"/>
      <c r="I134" s="274"/>
      <c r="J134" s="274"/>
      <c r="K134" s="274"/>
      <c r="L134" s="274"/>
      <c r="M134" s="274"/>
      <c r="N134" s="274"/>
      <c r="O134" s="274" t="s">
        <v>781</v>
      </c>
      <c r="P134" s="277" t="s">
        <v>459</v>
      </c>
      <c r="Q134" s="275" t="str">
        <f t="shared" si="2"/>
        <v>E06000027</v>
      </c>
      <c r="R134" s="274"/>
      <c r="S134" s="274"/>
      <c r="T134" s="274"/>
      <c r="U134" s="274" t="s">
        <v>460</v>
      </c>
      <c r="V134" s="274" t="s">
        <v>461</v>
      </c>
      <c r="W134" s="276">
        <v>3124</v>
      </c>
      <c r="X134" s="274">
        <v>9115</v>
      </c>
      <c r="Y134" s="274"/>
      <c r="Z134" s="274" t="s">
        <v>780</v>
      </c>
      <c r="AA134" s="277" t="s">
        <v>456</v>
      </c>
      <c r="AB134" s="274" t="s">
        <v>780</v>
      </c>
      <c r="AC134" s="274"/>
      <c r="AD134" s="274"/>
      <c r="AE134" s="274"/>
      <c r="AF134" s="274"/>
      <c r="AG134" s="274"/>
      <c r="AH134" s="274"/>
      <c r="AI134" s="274"/>
      <c r="AJ134" s="274"/>
      <c r="AK134" s="274"/>
      <c r="AL134" s="274"/>
      <c r="AM134" t="s">
        <v>1563</v>
      </c>
      <c r="AN134" s="120"/>
      <c r="AO134" s="120" t="s">
        <v>1295</v>
      </c>
      <c r="AP134" s="502" t="s">
        <v>1295</v>
      </c>
      <c r="AU134" t="s">
        <v>453</v>
      </c>
      <c r="AV134" s="510">
        <v>3008.6705202312137</v>
      </c>
      <c r="AX134" t="str">
        <f>AY134&amp;COUNTIF($AY$3:AY134,AY134)</f>
        <v>Norfolk2</v>
      </c>
      <c r="AY134" s="513" t="s">
        <v>315</v>
      </c>
      <c r="AZ134" s="513" t="s">
        <v>433</v>
      </c>
      <c r="BA134" s="514">
        <v>3809.0953866171008</v>
      </c>
    </row>
    <row r="135" spans="1:53">
      <c r="A135" s="274"/>
      <c r="B135" s="274"/>
      <c r="C135" s="274"/>
      <c r="D135" s="274"/>
      <c r="E135" s="274"/>
      <c r="F135" s="274"/>
      <c r="G135" s="274"/>
      <c r="H135" s="274"/>
      <c r="I135" s="274"/>
      <c r="J135" s="274"/>
      <c r="K135" s="274"/>
      <c r="L135" s="274"/>
      <c r="M135" s="274"/>
      <c r="N135" s="274"/>
      <c r="O135" s="274" t="s">
        <v>782</v>
      </c>
      <c r="P135" s="277" t="s">
        <v>462</v>
      </c>
      <c r="Q135" s="275" t="str">
        <f t="shared" si="2"/>
        <v>E09000030</v>
      </c>
      <c r="R135" s="274"/>
      <c r="S135" s="274"/>
      <c r="T135" s="274"/>
      <c r="U135" s="274" t="s">
        <v>463</v>
      </c>
      <c r="V135" s="274" t="s">
        <v>464</v>
      </c>
      <c r="W135" s="276">
        <v>2309</v>
      </c>
      <c r="X135" s="274">
        <v>6180</v>
      </c>
      <c r="Y135" s="274"/>
      <c r="Z135" s="274" t="s">
        <v>781</v>
      </c>
      <c r="AA135" s="277" t="s">
        <v>459</v>
      </c>
      <c r="AB135" s="274" t="s">
        <v>781</v>
      </c>
      <c r="AC135" s="274"/>
      <c r="AD135" s="274"/>
      <c r="AE135" s="274"/>
      <c r="AF135" s="274"/>
      <c r="AG135" s="274"/>
      <c r="AH135" s="274"/>
      <c r="AI135" s="274"/>
      <c r="AJ135" s="274"/>
      <c r="AK135" s="274"/>
      <c r="AL135" s="274"/>
      <c r="AM135" t="s">
        <v>1563</v>
      </c>
      <c r="AN135" s="120"/>
      <c r="AO135" s="120" t="s">
        <v>1295</v>
      </c>
      <c r="AP135" s="502" t="s">
        <v>1295</v>
      </c>
      <c r="AU135" t="s">
        <v>456</v>
      </c>
      <c r="AV135" s="510">
        <v>2809.2485549132948</v>
      </c>
      <c r="AX135" t="str">
        <f>AY135&amp;COUNTIF($AY$3:AY135,AY135)</f>
        <v>Norfolk3</v>
      </c>
      <c r="AY135" s="513" t="s">
        <v>315</v>
      </c>
      <c r="AZ135" s="513" t="s">
        <v>454</v>
      </c>
      <c r="BA135" s="514">
        <v>4343.0807211895917</v>
      </c>
    </row>
    <row r="136" spans="1:53">
      <c r="A136" s="274"/>
      <c r="B136" s="274"/>
      <c r="C136" s="274"/>
      <c r="D136" s="274"/>
      <c r="E136" s="274"/>
      <c r="F136" s="274"/>
      <c r="G136" s="274"/>
      <c r="H136" s="274"/>
      <c r="I136" s="274"/>
      <c r="J136" s="274"/>
      <c r="K136" s="274"/>
      <c r="L136" s="274"/>
      <c r="M136" s="274"/>
      <c r="N136" s="274"/>
      <c r="O136" s="274" t="s">
        <v>783</v>
      </c>
      <c r="P136" s="277" t="s">
        <v>465</v>
      </c>
      <c r="Q136" s="275" t="str">
        <f t="shared" si="2"/>
        <v>E08000009</v>
      </c>
      <c r="R136" s="274"/>
      <c r="S136" s="274"/>
      <c r="T136" s="274"/>
      <c r="U136" s="274" t="s">
        <v>466</v>
      </c>
      <c r="V136" s="274" t="s">
        <v>467</v>
      </c>
      <c r="W136" s="276">
        <v>5144</v>
      </c>
      <c r="X136" s="274">
        <v>16036</v>
      </c>
      <c r="Y136" s="274"/>
      <c r="Z136" s="274" t="s">
        <v>782</v>
      </c>
      <c r="AA136" s="277" t="s">
        <v>462</v>
      </c>
      <c r="AB136" s="274" t="s">
        <v>782</v>
      </c>
      <c r="AC136" s="274"/>
      <c r="AD136" s="274"/>
      <c r="AE136" s="274"/>
      <c r="AF136" s="274"/>
      <c r="AG136" s="274"/>
      <c r="AH136" s="274"/>
      <c r="AI136" s="274"/>
      <c r="AJ136" s="274"/>
      <c r="AK136" s="274"/>
      <c r="AL136" s="274"/>
      <c r="AM136" t="s">
        <v>1563</v>
      </c>
      <c r="AN136" s="120"/>
      <c r="AO136" s="120" t="s">
        <v>1295</v>
      </c>
      <c r="AP136" s="502" t="s">
        <v>1295</v>
      </c>
      <c r="AU136" t="s">
        <v>459</v>
      </c>
      <c r="AV136" s="510">
        <v>3044.2196531791906</v>
      </c>
      <c r="AX136" t="str">
        <f>AY136&amp;COUNTIF($AY$3:AY136,AY136)</f>
        <v>Norfolk4</v>
      </c>
      <c r="AY136" s="513" t="s">
        <v>315</v>
      </c>
      <c r="AZ136" s="513" t="s">
        <v>531</v>
      </c>
      <c r="BA136" s="514">
        <v>5197.457256505576</v>
      </c>
    </row>
    <row r="137" spans="1:53">
      <c r="A137" s="274"/>
      <c r="B137" s="274"/>
      <c r="C137" s="274"/>
      <c r="D137" s="274"/>
      <c r="E137" s="274"/>
      <c r="F137" s="274"/>
      <c r="G137" s="274"/>
      <c r="H137" s="274"/>
      <c r="I137" s="274"/>
      <c r="J137" s="274"/>
      <c r="K137" s="274"/>
      <c r="L137" s="274"/>
      <c r="M137" s="274"/>
      <c r="N137" s="274"/>
      <c r="O137" s="274" t="s">
        <v>784</v>
      </c>
      <c r="P137" s="277" t="s">
        <v>468</v>
      </c>
      <c r="Q137" s="275" t="str">
        <f t="shared" si="2"/>
        <v>E08000036</v>
      </c>
      <c r="R137" s="274"/>
      <c r="S137" s="274"/>
      <c r="T137" s="274"/>
      <c r="U137" s="274" t="s">
        <v>469</v>
      </c>
      <c r="V137" s="274" t="s">
        <v>470</v>
      </c>
      <c r="W137" s="276">
        <v>10271</v>
      </c>
      <c r="X137" s="274">
        <v>33120</v>
      </c>
      <c r="Y137" s="274"/>
      <c r="Z137" s="274" t="s">
        <v>783</v>
      </c>
      <c r="AA137" s="277" t="s">
        <v>465</v>
      </c>
      <c r="AB137" s="274" t="s">
        <v>783</v>
      </c>
      <c r="AC137" s="274"/>
      <c r="AD137" s="274"/>
      <c r="AE137" s="274"/>
      <c r="AF137" s="274"/>
      <c r="AG137" s="274"/>
      <c r="AH137" s="274"/>
      <c r="AI137" s="274"/>
      <c r="AJ137" s="274"/>
      <c r="AK137" s="274"/>
      <c r="AL137" s="274"/>
      <c r="AM137" t="s">
        <v>1623</v>
      </c>
      <c r="AN137" s="447" t="s">
        <v>231</v>
      </c>
      <c r="AO137" s="447" t="s">
        <v>307</v>
      </c>
      <c r="AP137" s="501">
        <v>15642</v>
      </c>
      <c r="AU137" t="s">
        <v>462</v>
      </c>
      <c r="AV137" s="510">
        <v>5415.6069364161849</v>
      </c>
      <c r="AX137" t="str">
        <f>AY137&amp;COUNTIF($AY$3:AY137,AY137)</f>
        <v>Norfolk5</v>
      </c>
      <c r="AY137" s="513" t="s">
        <v>315</v>
      </c>
      <c r="AZ137" s="513" t="s">
        <v>619</v>
      </c>
      <c r="BA137" s="514">
        <v>3631.100275092937</v>
      </c>
    </row>
    <row r="138" spans="1:53">
      <c r="A138" s="274"/>
      <c r="B138" s="274"/>
      <c r="C138" s="274"/>
      <c r="D138" s="274"/>
      <c r="E138" s="274"/>
      <c r="F138" s="274"/>
      <c r="G138" s="274"/>
      <c r="H138" s="274"/>
      <c r="I138" s="274"/>
      <c r="J138" s="274"/>
      <c r="K138" s="274"/>
      <c r="L138" s="274"/>
      <c r="M138" s="274"/>
      <c r="N138" s="274"/>
      <c r="O138" s="274" t="s">
        <v>785</v>
      </c>
      <c r="P138" s="277" t="s">
        <v>471</v>
      </c>
      <c r="Q138" s="275" t="str">
        <f t="shared" si="2"/>
        <v>E08000030</v>
      </c>
      <c r="R138" s="274"/>
      <c r="S138" s="274"/>
      <c r="T138" s="274"/>
      <c r="U138" s="274" t="s">
        <v>472</v>
      </c>
      <c r="V138" s="274" t="s">
        <v>473</v>
      </c>
      <c r="W138" s="276">
        <v>4081</v>
      </c>
      <c r="X138" s="274">
        <v>13052</v>
      </c>
      <c r="Y138" s="274"/>
      <c r="Z138" s="274" t="s">
        <v>784</v>
      </c>
      <c r="AA138" s="277" t="s">
        <v>468</v>
      </c>
      <c r="AB138" s="274" t="s">
        <v>784</v>
      </c>
      <c r="AC138" s="274"/>
      <c r="AD138" s="274"/>
      <c r="AE138" s="274"/>
      <c r="AF138" s="274"/>
      <c r="AG138" s="274"/>
      <c r="AH138" s="274"/>
      <c r="AI138" s="274"/>
      <c r="AJ138" s="274"/>
      <c r="AK138" s="274"/>
      <c r="AL138" s="274"/>
      <c r="AM138" t="s">
        <v>1624</v>
      </c>
      <c r="AN138" s="120" t="s">
        <v>234</v>
      </c>
      <c r="AO138" s="120" t="s">
        <v>313</v>
      </c>
      <c r="AP138" s="502">
        <v>15288</v>
      </c>
      <c r="AU138" t="s">
        <v>465</v>
      </c>
      <c r="AV138" s="510">
        <v>4076.0115606936415</v>
      </c>
      <c r="AX138" t="str">
        <f>AY138&amp;COUNTIF($AY$3:AY138,AY138)</f>
        <v>North East Lincolnshire1</v>
      </c>
      <c r="AY138" s="512" t="s">
        <v>318</v>
      </c>
      <c r="AZ138" s="512" t="s">
        <v>418</v>
      </c>
      <c r="BA138" s="514">
        <v>3573.67</v>
      </c>
    </row>
    <row r="139" spans="1:53">
      <c r="A139" s="274"/>
      <c r="B139" s="274"/>
      <c r="C139" s="274"/>
      <c r="D139" s="274"/>
      <c r="E139" s="274"/>
      <c r="F139" s="274"/>
      <c r="G139" s="274"/>
      <c r="H139" s="274"/>
      <c r="I139" s="274"/>
      <c r="J139" s="274"/>
      <c r="K139" s="274"/>
      <c r="L139" s="274"/>
      <c r="M139" s="274"/>
      <c r="N139" s="274"/>
      <c r="O139" s="274" t="s">
        <v>786</v>
      </c>
      <c r="P139" s="277" t="s">
        <v>474</v>
      </c>
      <c r="Q139" s="275" t="str">
        <f t="shared" si="2"/>
        <v>E09000031</v>
      </c>
      <c r="R139" s="274"/>
      <c r="S139" s="274"/>
      <c r="T139" s="274"/>
      <c r="U139" s="274" t="s">
        <v>475</v>
      </c>
      <c r="V139" s="274" t="s">
        <v>476</v>
      </c>
      <c r="W139" s="276">
        <v>5115</v>
      </c>
      <c r="X139" s="274">
        <v>16032</v>
      </c>
      <c r="Y139" s="274"/>
      <c r="Z139" s="274" t="s">
        <v>785</v>
      </c>
      <c r="AA139" s="277" t="s">
        <v>471</v>
      </c>
      <c r="AB139" s="274" t="s">
        <v>785</v>
      </c>
      <c r="AC139" s="274"/>
      <c r="AD139" s="274"/>
      <c r="AE139" s="274"/>
      <c r="AF139" s="274"/>
      <c r="AG139" s="274"/>
      <c r="AH139" s="274"/>
      <c r="AI139" s="274"/>
      <c r="AJ139" s="274"/>
      <c r="AK139" s="274"/>
      <c r="AL139" s="274"/>
      <c r="AM139" t="s">
        <v>1625</v>
      </c>
      <c r="AN139" s="447" t="s">
        <v>238</v>
      </c>
      <c r="AO139" s="447" t="s">
        <v>322</v>
      </c>
      <c r="AP139" s="501">
        <v>10803</v>
      </c>
      <c r="AU139" t="s">
        <v>468</v>
      </c>
      <c r="AV139" s="510">
        <v>7015.8959537572255</v>
      </c>
      <c r="AX139" t="str">
        <f>AY139&amp;COUNTIF($AY$3:AY139,AY139)</f>
        <v>North Lincolnshire1</v>
      </c>
      <c r="AY139" s="512" t="s">
        <v>321</v>
      </c>
      <c r="AZ139" s="512" t="s">
        <v>427</v>
      </c>
      <c r="BA139" s="514">
        <v>3487.5459999999998</v>
      </c>
    </row>
    <row r="140" spans="1:53">
      <c r="A140" s="274"/>
      <c r="B140" s="274"/>
      <c r="C140" s="274"/>
      <c r="D140" s="274"/>
      <c r="E140" s="274"/>
      <c r="F140" s="274"/>
      <c r="G140" s="274"/>
      <c r="H140" s="274"/>
      <c r="I140" s="274"/>
      <c r="J140" s="274"/>
      <c r="K140" s="274"/>
      <c r="L140" s="274"/>
      <c r="M140" s="274"/>
      <c r="N140" s="274"/>
      <c r="O140" s="274" t="s">
        <v>787</v>
      </c>
      <c r="P140" s="277" t="s">
        <v>477</v>
      </c>
      <c r="Q140" s="275" t="str">
        <f t="shared" si="2"/>
        <v>E09000032</v>
      </c>
      <c r="R140" s="274"/>
      <c r="S140" s="274"/>
      <c r="T140" s="274"/>
      <c r="U140" s="274" t="s">
        <v>478</v>
      </c>
      <c r="V140" s="274" t="s">
        <v>479</v>
      </c>
      <c r="W140" s="276">
        <v>3393</v>
      </c>
      <c r="X140" s="274">
        <v>10069</v>
      </c>
      <c r="Y140" s="274"/>
      <c r="Z140" s="274" t="s">
        <v>786</v>
      </c>
      <c r="AA140" s="277" t="s">
        <v>474</v>
      </c>
      <c r="AB140" s="274" t="s">
        <v>786</v>
      </c>
      <c r="AC140" s="274"/>
      <c r="AD140" s="274"/>
      <c r="AE140" s="274"/>
      <c r="AF140" s="274"/>
      <c r="AG140" s="274"/>
      <c r="AH140" s="274"/>
      <c r="AI140" s="274"/>
      <c r="AJ140" s="274"/>
      <c r="AK140" s="274"/>
      <c r="AL140" s="274"/>
      <c r="AM140" t="s">
        <v>1626</v>
      </c>
      <c r="AN140" s="120" t="s">
        <v>241</v>
      </c>
      <c r="AO140" s="120" t="s">
        <v>328</v>
      </c>
      <c r="AP140" s="502">
        <v>135</v>
      </c>
      <c r="AU140" t="s">
        <v>471</v>
      </c>
      <c r="AV140" s="510">
        <v>5590.1734104046245</v>
      </c>
      <c r="AX140" t="str">
        <f>AY140&amp;COUNTIF($AY$3:AY140,AY140)</f>
        <v>North Somerset1</v>
      </c>
      <c r="AY140" s="512" t="s">
        <v>324</v>
      </c>
      <c r="AZ140" s="512" t="s">
        <v>436</v>
      </c>
      <c r="BA140" s="514">
        <v>4234.75</v>
      </c>
    </row>
    <row r="141" spans="1:53">
      <c r="A141" s="274"/>
      <c r="B141" s="274"/>
      <c r="C141" s="274"/>
      <c r="D141" s="274"/>
      <c r="E141" s="274"/>
      <c r="F141" s="274"/>
      <c r="G141" s="274"/>
      <c r="H141" s="274"/>
      <c r="I141" s="274"/>
      <c r="J141" s="274"/>
      <c r="K141" s="274"/>
      <c r="L141" s="274"/>
      <c r="M141" s="274"/>
      <c r="N141" s="274"/>
      <c r="O141" s="274" t="s">
        <v>788</v>
      </c>
      <c r="P141" s="277" t="s">
        <v>480</v>
      </c>
      <c r="Q141" s="275" t="str">
        <f t="shared" si="2"/>
        <v>E06000007</v>
      </c>
      <c r="R141" s="274"/>
      <c r="S141" s="274"/>
      <c r="T141" s="274"/>
      <c r="U141" s="274" t="s">
        <v>481</v>
      </c>
      <c r="V141" s="274" t="s">
        <v>482</v>
      </c>
      <c r="W141" s="276">
        <v>3029</v>
      </c>
      <c r="X141" s="274">
        <v>10689</v>
      </c>
      <c r="Y141" s="274"/>
      <c r="Z141" s="274" t="s">
        <v>787</v>
      </c>
      <c r="AA141" s="277" t="s">
        <v>477</v>
      </c>
      <c r="AB141" s="274" t="s">
        <v>787</v>
      </c>
      <c r="AC141" s="274"/>
      <c r="AD141" s="274"/>
      <c r="AE141" s="274"/>
      <c r="AF141" s="274"/>
      <c r="AG141" s="274"/>
      <c r="AH141" s="274"/>
      <c r="AI141" s="274"/>
      <c r="AJ141" s="274"/>
      <c r="AK141" s="274"/>
      <c r="AL141" s="274"/>
      <c r="AM141" t="s">
        <v>1627</v>
      </c>
      <c r="AN141" s="447" t="s">
        <v>245</v>
      </c>
      <c r="AO141" s="447" t="s">
        <v>325</v>
      </c>
      <c r="AP141" s="501">
        <v>16981</v>
      </c>
      <c r="AU141" t="s">
        <v>474</v>
      </c>
      <c r="AV141" s="510">
        <v>4639.884393063584</v>
      </c>
      <c r="AX141" t="str">
        <f>AY141&amp;COUNTIF($AY$3:AY141,AY141)</f>
        <v>North Tyneside1</v>
      </c>
      <c r="AY141" s="512" t="s">
        <v>327</v>
      </c>
      <c r="AZ141" s="512" t="s">
        <v>442</v>
      </c>
      <c r="BA141" s="514">
        <v>4725.7690000000002</v>
      </c>
    </row>
    <row r="142" spans="1:53">
      <c r="A142" s="274"/>
      <c r="B142" s="274"/>
      <c r="C142" s="274"/>
      <c r="D142" s="274"/>
      <c r="E142" s="274"/>
      <c r="F142" s="274"/>
      <c r="G142" s="274"/>
      <c r="H142" s="274"/>
      <c r="I142" s="274"/>
      <c r="J142" s="274"/>
      <c r="K142" s="274"/>
      <c r="L142" s="274"/>
      <c r="M142" s="274"/>
      <c r="N142" s="274"/>
      <c r="O142" s="274" t="s">
        <v>789</v>
      </c>
      <c r="P142" s="277" t="s">
        <v>483</v>
      </c>
      <c r="Q142" s="275" t="str">
        <f t="shared" si="2"/>
        <v>E10000031</v>
      </c>
      <c r="R142" s="274"/>
      <c r="S142" s="274"/>
      <c r="T142" s="274"/>
      <c r="U142" s="274" t="s">
        <v>484</v>
      </c>
      <c r="V142" s="274" t="s">
        <v>485</v>
      </c>
      <c r="W142" s="276">
        <v>6166</v>
      </c>
      <c r="X142" s="274">
        <v>18350</v>
      </c>
      <c r="Y142" s="274"/>
      <c r="Z142" s="274" t="s">
        <v>788</v>
      </c>
      <c r="AA142" s="277" t="s">
        <v>480</v>
      </c>
      <c r="AB142" s="274" t="s">
        <v>788</v>
      </c>
      <c r="AC142" s="274"/>
      <c r="AD142" s="274"/>
      <c r="AE142" s="274"/>
      <c r="AF142" s="274"/>
      <c r="AG142" s="274"/>
      <c r="AH142" s="274"/>
      <c r="AI142" s="274"/>
      <c r="AJ142" s="274"/>
      <c r="AK142" s="274"/>
      <c r="AL142" s="274"/>
      <c r="AM142" t="s">
        <v>1628</v>
      </c>
      <c r="AN142" s="120" t="s">
        <v>248</v>
      </c>
      <c r="AO142" s="120" t="s">
        <v>617</v>
      </c>
      <c r="AP142" s="502">
        <v>13180</v>
      </c>
      <c r="AU142" t="s">
        <v>477</v>
      </c>
      <c r="AV142" s="510">
        <v>5782.3699421965321</v>
      </c>
      <c r="AX142" t="str">
        <f>AY142&amp;COUNTIF($AY$3:AY142,AY142)</f>
        <v>North Yorkshire1</v>
      </c>
      <c r="AY142" s="513" t="s">
        <v>330</v>
      </c>
      <c r="AZ142" s="513" t="s">
        <v>170</v>
      </c>
      <c r="BA142" s="514">
        <v>89.341857908847189</v>
      </c>
    </row>
    <row r="143" spans="1:53">
      <c r="A143" s="274"/>
      <c r="B143" s="274"/>
      <c r="C143" s="274"/>
      <c r="D143" s="274"/>
      <c r="E143" s="274"/>
      <c r="F143" s="274"/>
      <c r="G143" s="274"/>
      <c r="H143" s="274"/>
      <c r="I143" s="274"/>
      <c r="J143" s="274"/>
      <c r="K143" s="274"/>
      <c r="L143" s="274"/>
      <c r="M143" s="274"/>
      <c r="N143" s="274"/>
      <c r="O143" s="274" t="s">
        <v>790</v>
      </c>
      <c r="P143" s="277" t="s">
        <v>486</v>
      </c>
      <c r="Q143" s="275" t="str">
        <f t="shared" si="2"/>
        <v>E06000037</v>
      </c>
      <c r="R143" s="274"/>
      <c r="S143" s="274"/>
      <c r="T143" s="274"/>
      <c r="U143" s="274" t="s">
        <v>487</v>
      </c>
      <c r="V143" s="274" t="s">
        <v>488</v>
      </c>
      <c r="W143" s="276">
        <v>2212</v>
      </c>
      <c r="X143" s="274">
        <v>6780</v>
      </c>
      <c r="Y143" s="274"/>
      <c r="Z143" s="274" t="s">
        <v>789</v>
      </c>
      <c r="AA143" s="277" t="s">
        <v>483</v>
      </c>
      <c r="AB143" s="274" t="s">
        <v>789</v>
      </c>
      <c r="AC143" s="274"/>
      <c r="AD143" s="274"/>
      <c r="AE143" s="274"/>
      <c r="AF143" s="274"/>
      <c r="AG143" s="274"/>
      <c r="AH143" s="274"/>
      <c r="AI143" s="274"/>
      <c r="AJ143" s="274"/>
      <c r="AK143" s="274"/>
      <c r="AL143" s="274"/>
      <c r="AM143" t="s">
        <v>1629</v>
      </c>
      <c r="AN143" s="447" t="s">
        <v>252</v>
      </c>
      <c r="AO143" s="447" t="s">
        <v>611</v>
      </c>
      <c r="AP143" s="501">
        <v>26394</v>
      </c>
      <c r="AU143" t="s">
        <v>480</v>
      </c>
      <c r="AV143" s="510">
        <v>3652.6011560693642</v>
      </c>
      <c r="AX143" t="str">
        <f>AY143&amp;COUNTIF($AY$3:AY143,AY143)</f>
        <v>North Yorkshire2</v>
      </c>
      <c r="AY143" s="513" t="s">
        <v>330</v>
      </c>
      <c r="AZ143" s="513" t="s">
        <v>4</v>
      </c>
      <c r="BA143" s="514">
        <v>863.63795978552275</v>
      </c>
    </row>
    <row r="144" spans="1:53">
      <c r="A144" s="274"/>
      <c r="B144" s="274"/>
      <c r="C144" s="274"/>
      <c r="D144" s="274"/>
      <c r="E144" s="274"/>
      <c r="F144" s="274"/>
      <c r="G144" s="274"/>
      <c r="H144" s="274"/>
      <c r="I144" s="274"/>
      <c r="J144" s="274"/>
      <c r="K144" s="274"/>
      <c r="L144" s="274"/>
      <c r="M144" s="274"/>
      <c r="N144" s="274"/>
      <c r="O144" s="274" t="s">
        <v>791</v>
      </c>
      <c r="P144" s="277" t="s">
        <v>489</v>
      </c>
      <c r="Q144" s="275" t="str">
        <f t="shared" si="2"/>
        <v>E10000032</v>
      </c>
      <c r="R144" s="274"/>
      <c r="S144" s="274"/>
      <c r="T144" s="274"/>
      <c r="U144" s="274" t="s">
        <v>490</v>
      </c>
      <c r="V144" s="274" t="s">
        <v>491</v>
      </c>
      <c r="W144" s="276">
        <v>6039</v>
      </c>
      <c r="X144" s="274">
        <v>18080</v>
      </c>
      <c r="Y144" s="274"/>
      <c r="Z144" s="274" t="s">
        <v>790</v>
      </c>
      <c r="AA144" s="277" t="s">
        <v>486</v>
      </c>
      <c r="AB144" s="274" t="s">
        <v>790</v>
      </c>
      <c r="AC144" s="274"/>
      <c r="AD144" s="274"/>
      <c r="AE144" s="274"/>
      <c r="AF144" s="274"/>
      <c r="AG144" s="274"/>
      <c r="AH144" s="274"/>
      <c r="AI144" s="274"/>
      <c r="AJ144" s="274"/>
      <c r="AK144" s="274"/>
      <c r="AL144" s="274"/>
      <c r="AM144" t="s">
        <v>1630</v>
      </c>
      <c r="AN144" s="447" t="s">
        <v>252</v>
      </c>
      <c r="AO144" s="447" t="s">
        <v>581</v>
      </c>
      <c r="AP144" s="501">
        <v>9699</v>
      </c>
      <c r="AU144" t="s">
        <v>483</v>
      </c>
      <c r="AV144" s="510">
        <v>9528.323699421966</v>
      </c>
      <c r="AX144" t="str">
        <f>AY144&amp;COUNTIF($AY$3:AY144,AY144)</f>
        <v>North Yorkshire3</v>
      </c>
      <c r="AY144" s="513" t="s">
        <v>330</v>
      </c>
      <c r="AZ144" s="513" t="s">
        <v>268</v>
      </c>
      <c r="BA144" s="514">
        <v>2829.1588337801609</v>
      </c>
    </row>
    <row r="145" spans="1:53">
      <c r="A145" s="274"/>
      <c r="B145" s="274"/>
      <c r="C145" s="274"/>
      <c r="D145" s="274"/>
      <c r="E145" s="274"/>
      <c r="F145" s="274"/>
      <c r="G145" s="274"/>
      <c r="H145" s="274"/>
      <c r="I145" s="274"/>
      <c r="J145" s="274"/>
      <c r="K145" s="274"/>
      <c r="L145" s="274"/>
      <c r="M145" s="274"/>
      <c r="N145" s="274"/>
      <c r="O145" s="274" t="s">
        <v>792</v>
      </c>
      <c r="P145" s="277" t="s">
        <v>492</v>
      </c>
      <c r="Q145" s="275" t="str">
        <f t="shared" si="2"/>
        <v>E09000033</v>
      </c>
      <c r="R145" s="274"/>
      <c r="S145" s="274"/>
      <c r="T145" s="274"/>
      <c r="U145" s="274" t="s">
        <v>493</v>
      </c>
      <c r="V145" s="274" t="s">
        <v>494</v>
      </c>
      <c r="W145" s="276">
        <v>12165</v>
      </c>
      <c r="X145" s="274">
        <v>34169</v>
      </c>
      <c r="Y145" s="274"/>
      <c r="Z145" s="274" t="s">
        <v>791</v>
      </c>
      <c r="AA145" s="277" t="s">
        <v>489</v>
      </c>
      <c r="AB145" s="274" t="s">
        <v>791</v>
      </c>
      <c r="AC145" s="274"/>
      <c r="AD145" s="274"/>
      <c r="AE145" s="274"/>
      <c r="AF145" s="274"/>
      <c r="AG145" s="274"/>
      <c r="AH145" s="274"/>
      <c r="AI145" s="274"/>
      <c r="AJ145" s="274"/>
      <c r="AK145" s="274"/>
      <c r="AL145" s="274"/>
      <c r="AM145" t="s">
        <v>1631</v>
      </c>
      <c r="AN145" s="447" t="s">
        <v>252</v>
      </c>
      <c r="AO145" s="447" t="s">
        <v>573</v>
      </c>
      <c r="AP145" s="501">
        <v>6556</v>
      </c>
      <c r="AU145" t="s">
        <v>486</v>
      </c>
      <c r="AV145" s="510">
        <v>2464.7398843930637</v>
      </c>
      <c r="AX145" t="str">
        <f>AY145&amp;COUNTIF($AY$3:AY145,AY145)</f>
        <v>North Yorkshire4</v>
      </c>
      <c r="AY145" s="513" t="s">
        <v>330</v>
      </c>
      <c r="AZ145" s="513" t="s">
        <v>280</v>
      </c>
      <c r="BA145" s="514">
        <v>3097.1844075067029</v>
      </c>
    </row>
    <row r="146" spans="1:53">
      <c r="A146" s="274"/>
      <c r="B146" s="274"/>
      <c r="C146" s="274"/>
      <c r="D146" s="274"/>
      <c r="E146" s="274"/>
      <c r="F146" s="274"/>
      <c r="G146" s="274"/>
      <c r="H146" s="274"/>
      <c r="I146" s="274"/>
      <c r="J146" s="274"/>
      <c r="K146" s="274"/>
      <c r="L146" s="274"/>
      <c r="M146" s="274"/>
      <c r="N146" s="274"/>
      <c r="O146" s="274" t="s">
        <v>793</v>
      </c>
      <c r="P146" s="277" t="s">
        <v>495</v>
      </c>
      <c r="Q146" s="275" t="str">
        <f t="shared" si="2"/>
        <v>E08000010</v>
      </c>
      <c r="R146" s="274"/>
      <c r="S146" s="274"/>
      <c r="T146" s="274"/>
      <c r="U146" s="274" t="s">
        <v>496</v>
      </c>
      <c r="V146" s="274" t="s">
        <v>497</v>
      </c>
      <c r="W146" s="276">
        <v>2055</v>
      </c>
      <c r="X146" s="274">
        <v>7538</v>
      </c>
      <c r="Y146" s="274"/>
      <c r="Z146" s="274" t="s">
        <v>792</v>
      </c>
      <c r="AA146" s="277" t="s">
        <v>492</v>
      </c>
      <c r="AB146" s="274" t="s">
        <v>792</v>
      </c>
      <c r="AC146" s="274"/>
      <c r="AD146" s="274"/>
      <c r="AE146" s="274"/>
      <c r="AF146" s="274"/>
      <c r="AG146" s="274"/>
      <c r="AH146" s="274"/>
      <c r="AI146" s="274"/>
      <c r="AJ146" s="274"/>
      <c r="AK146" s="274"/>
      <c r="AL146" s="274"/>
      <c r="AM146" t="s">
        <v>1632</v>
      </c>
      <c r="AN146" s="447" t="s">
        <v>252</v>
      </c>
      <c r="AO146" s="447" t="s">
        <v>525</v>
      </c>
      <c r="AP146" s="501">
        <v>13283</v>
      </c>
      <c r="AU146" t="s">
        <v>489</v>
      </c>
      <c r="AV146" s="510">
        <v>14898.843930635838</v>
      </c>
      <c r="AX146" t="str">
        <f>AY146&amp;COUNTIF($AY$3:AY146,AY146)</f>
        <v>North Yorkshire5</v>
      </c>
      <c r="AY146" s="513" t="s">
        <v>330</v>
      </c>
      <c r="AZ146" s="513" t="s">
        <v>496</v>
      </c>
      <c r="BA146" s="514">
        <v>2054.8627319034854</v>
      </c>
    </row>
    <row r="147" spans="1:53">
      <c r="A147" s="274"/>
      <c r="B147" s="274"/>
      <c r="C147" s="274"/>
      <c r="D147" s="274"/>
      <c r="E147" s="274"/>
      <c r="F147" s="274"/>
      <c r="G147" s="274"/>
      <c r="H147" s="274"/>
      <c r="I147" s="274"/>
      <c r="J147" s="274"/>
      <c r="K147" s="274"/>
      <c r="L147" s="274"/>
      <c r="M147" s="274"/>
      <c r="N147" s="274"/>
      <c r="O147" s="274" t="s">
        <v>794</v>
      </c>
      <c r="P147" s="277" t="s">
        <v>498</v>
      </c>
      <c r="Q147" s="275" t="str">
        <f t="shared" si="2"/>
        <v>E06000054</v>
      </c>
      <c r="R147" s="274"/>
      <c r="S147" s="274"/>
      <c r="T147" s="274"/>
      <c r="U147" s="274" t="s">
        <v>499</v>
      </c>
      <c r="V147" s="274" t="s">
        <v>500</v>
      </c>
      <c r="W147" s="276">
        <v>12399</v>
      </c>
      <c r="X147" s="274">
        <v>37783</v>
      </c>
      <c r="Y147" s="274"/>
      <c r="Z147" s="274" t="s">
        <v>793</v>
      </c>
      <c r="AA147" s="277" t="s">
        <v>495</v>
      </c>
      <c r="AB147" s="274" t="s">
        <v>793</v>
      </c>
      <c r="AC147" s="274"/>
      <c r="AD147" s="274"/>
      <c r="AE147" s="274"/>
      <c r="AF147" s="274"/>
      <c r="AG147" s="274"/>
      <c r="AH147" s="274"/>
      <c r="AI147" s="274"/>
      <c r="AJ147" s="274"/>
      <c r="AK147" s="274"/>
      <c r="AL147" s="274"/>
      <c r="AM147" t="s">
        <v>1633</v>
      </c>
      <c r="AN147" s="447" t="s">
        <v>252</v>
      </c>
      <c r="AO147" s="447" t="s">
        <v>177</v>
      </c>
      <c r="AP147" s="501">
        <v>14947</v>
      </c>
      <c r="AU147" t="s">
        <v>492</v>
      </c>
      <c r="AV147" s="510">
        <v>5260.9826589595377</v>
      </c>
      <c r="AX147" t="str">
        <f>AY147&amp;COUNTIF($AY$3:AY147,AY147)</f>
        <v>North Yorkshire6</v>
      </c>
      <c r="AY147" s="513" t="s">
        <v>330</v>
      </c>
      <c r="AZ147" s="513" t="s">
        <v>589</v>
      </c>
      <c r="BA147" s="514">
        <v>2173.9852091152816</v>
      </c>
    </row>
    <row r="148" spans="1:53">
      <c r="A148" s="274"/>
      <c r="B148" s="274"/>
      <c r="C148" s="274"/>
      <c r="D148" s="274"/>
      <c r="E148" s="274"/>
      <c r="F148" s="274"/>
      <c r="G148" s="274"/>
      <c r="H148" s="274"/>
      <c r="I148" s="274"/>
      <c r="J148" s="274"/>
      <c r="K148" s="274"/>
      <c r="L148" s="274"/>
      <c r="M148" s="274"/>
      <c r="N148" s="274"/>
      <c r="O148" s="274" t="s">
        <v>795</v>
      </c>
      <c r="P148" s="277" t="s">
        <v>501</v>
      </c>
      <c r="Q148" s="275" t="str">
        <f t="shared" si="2"/>
        <v>E06000040</v>
      </c>
      <c r="R148" s="274"/>
      <c r="S148" s="274"/>
      <c r="T148" s="274"/>
      <c r="U148" s="274" t="s">
        <v>502</v>
      </c>
      <c r="V148" s="274" t="s">
        <v>503</v>
      </c>
      <c r="W148" s="276">
        <v>6388</v>
      </c>
      <c r="X148" s="274">
        <v>19296</v>
      </c>
      <c r="Y148" s="274"/>
      <c r="Z148" s="274" t="s">
        <v>794</v>
      </c>
      <c r="AA148" s="277" t="s">
        <v>498</v>
      </c>
      <c r="AB148" s="274" t="s">
        <v>794</v>
      </c>
      <c r="AC148" s="274"/>
      <c r="AD148" s="274"/>
      <c r="AE148" s="274"/>
      <c r="AF148" s="274"/>
      <c r="AG148" s="274"/>
      <c r="AH148" s="274"/>
      <c r="AI148" s="274"/>
      <c r="AJ148" s="274"/>
      <c r="AK148" s="274"/>
      <c r="AL148" s="274"/>
      <c r="AM148" t="s">
        <v>1634</v>
      </c>
      <c r="AN148" s="447" t="s">
        <v>252</v>
      </c>
      <c r="AO148" s="447" t="s">
        <v>125</v>
      </c>
      <c r="AP148" s="501">
        <v>12564</v>
      </c>
      <c r="AU148" t="s">
        <v>495</v>
      </c>
      <c r="AV148" s="510">
        <v>6456.9364161849708</v>
      </c>
      <c r="AX148" t="str">
        <f>AY148&amp;COUNTIF($AY$3:AY148,AY148)</f>
        <v>Northamptonshire1</v>
      </c>
      <c r="AY148" s="512" t="s">
        <v>333</v>
      </c>
      <c r="AZ148" s="512" t="s">
        <v>155</v>
      </c>
      <c r="BA148" s="514">
        <v>1209.9284597156397</v>
      </c>
    </row>
    <row r="149" spans="1:53">
      <c r="A149" s="274"/>
      <c r="B149" s="274"/>
      <c r="C149" s="274"/>
      <c r="D149" s="274"/>
      <c r="E149" s="274"/>
      <c r="F149" s="274"/>
      <c r="G149" s="274"/>
      <c r="H149" s="274"/>
      <c r="I149" s="274"/>
      <c r="J149" s="274"/>
      <c r="K149" s="274"/>
      <c r="L149" s="274"/>
      <c r="M149" s="274"/>
      <c r="N149" s="274"/>
      <c r="O149" s="274" t="s">
        <v>796</v>
      </c>
      <c r="P149" s="277" t="s">
        <v>504</v>
      </c>
      <c r="Q149" s="275" t="str">
        <f t="shared" si="2"/>
        <v>E08000015</v>
      </c>
      <c r="R149" s="274"/>
      <c r="S149" s="274"/>
      <c r="T149" s="274"/>
      <c r="U149" s="274" t="s">
        <v>505</v>
      </c>
      <c r="V149" s="274" t="s">
        <v>506</v>
      </c>
      <c r="W149" s="276">
        <v>2362</v>
      </c>
      <c r="X149" s="274">
        <v>8068</v>
      </c>
      <c r="Y149" s="274"/>
      <c r="Z149" s="274" t="s">
        <v>795</v>
      </c>
      <c r="AA149" s="277" t="s">
        <v>501</v>
      </c>
      <c r="AB149" s="274" t="s">
        <v>795</v>
      </c>
      <c r="AC149" s="274"/>
      <c r="AD149" s="274"/>
      <c r="AE149" s="274"/>
      <c r="AF149" s="274"/>
      <c r="AG149" s="274"/>
      <c r="AH149" s="274"/>
      <c r="AI149" s="274"/>
      <c r="AJ149" s="274"/>
      <c r="AK149" s="274"/>
      <c r="AL149" s="274"/>
      <c r="AM149" t="s">
        <v>1635</v>
      </c>
      <c r="AN149" s="447" t="s">
        <v>252</v>
      </c>
      <c r="AO149" s="447" t="s">
        <v>11</v>
      </c>
      <c r="AP149" s="501">
        <v>7321</v>
      </c>
      <c r="AU149" t="s">
        <v>498</v>
      </c>
      <c r="AV149" s="510">
        <v>7824.5664739884396</v>
      </c>
      <c r="AX149" t="str">
        <f>AY149&amp;COUNTIF($AY$3:AY149,AY149)</f>
        <v>Northamptonshire2</v>
      </c>
      <c r="AY149" s="513" t="s">
        <v>333</v>
      </c>
      <c r="AZ149" s="513" t="s">
        <v>385</v>
      </c>
      <c r="BA149" s="514">
        <v>10977.887488151659</v>
      </c>
    </row>
    <row r="150" spans="1:53">
      <c r="A150" s="274"/>
      <c r="B150" s="274"/>
      <c r="C150" s="274"/>
      <c r="D150" s="274"/>
      <c r="E150" s="274"/>
      <c r="F150" s="274"/>
      <c r="G150" s="274"/>
      <c r="H150" s="274"/>
      <c r="I150" s="274"/>
      <c r="J150" s="274"/>
      <c r="K150" s="274"/>
      <c r="L150" s="274"/>
      <c r="M150" s="274"/>
      <c r="N150" s="274"/>
      <c r="O150" s="274" t="s">
        <v>797</v>
      </c>
      <c r="P150" s="277" t="s">
        <v>507</v>
      </c>
      <c r="Q150" s="275" t="str">
        <f t="shared" si="2"/>
        <v>E06000041</v>
      </c>
      <c r="R150" s="274"/>
      <c r="S150" s="274"/>
      <c r="T150" s="274"/>
      <c r="U150" s="274" t="s">
        <v>508</v>
      </c>
      <c r="V150" s="274" t="s">
        <v>509</v>
      </c>
      <c r="W150" s="276">
        <v>3989</v>
      </c>
      <c r="X150" s="274">
        <v>13719</v>
      </c>
      <c r="Y150" s="274"/>
      <c r="Z150" s="274" t="s">
        <v>796</v>
      </c>
      <c r="AA150" s="277" t="s">
        <v>504</v>
      </c>
      <c r="AB150" s="274" t="s">
        <v>796</v>
      </c>
      <c r="AC150" s="274"/>
      <c r="AD150" s="274"/>
      <c r="AE150" s="274"/>
      <c r="AF150" s="274"/>
      <c r="AG150" s="274"/>
      <c r="AH150" s="274"/>
      <c r="AI150" s="274"/>
      <c r="AJ150" s="274"/>
      <c r="AK150" s="274"/>
      <c r="AL150" s="274"/>
      <c r="AM150" t="s">
        <v>1563</v>
      </c>
      <c r="AN150" s="447"/>
      <c r="AO150" s="447" t="s">
        <v>1295</v>
      </c>
      <c r="AP150" s="501" t="s">
        <v>1295</v>
      </c>
      <c r="AU150" t="s">
        <v>501</v>
      </c>
      <c r="AV150" s="510">
        <v>2265.8959537572255</v>
      </c>
      <c r="AX150" t="str">
        <f>AY150&amp;COUNTIF($AY$3:AY150,AY150)</f>
        <v>Northamptonshire3</v>
      </c>
      <c r="AY150" s="513" t="s">
        <v>333</v>
      </c>
      <c r="AZ150" s="513" t="s">
        <v>115</v>
      </c>
      <c r="BA150" s="514">
        <v>265.59405213270145</v>
      </c>
    </row>
    <row r="151" spans="1:53">
      <c r="A151" s="274"/>
      <c r="B151" s="274"/>
      <c r="C151" s="274"/>
      <c r="D151" s="274"/>
      <c r="E151" s="274"/>
      <c r="F151" s="274"/>
      <c r="G151" s="274"/>
      <c r="H151" s="274"/>
      <c r="I151" s="274"/>
      <c r="J151" s="274"/>
      <c r="K151" s="274"/>
      <c r="L151" s="274"/>
      <c r="M151" s="274"/>
      <c r="N151" s="274"/>
      <c r="O151" s="274" t="s">
        <v>798</v>
      </c>
      <c r="P151" s="277" t="s">
        <v>510</v>
      </c>
      <c r="Q151" s="275" t="str">
        <f t="shared" si="2"/>
        <v>E08000031</v>
      </c>
      <c r="R151" s="274"/>
      <c r="S151" s="274"/>
      <c r="T151" s="274"/>
      <c r="U151" s="274" t="s">
        <v>511</v>
      </c>
      <c r="V151" s="274" t="s">
        <v>512</v>
      </c>
      <c r="W151" s="276">
        <v>11447</v>
      </c>
      <c r="X151" s="274">
        <v>35067</v>
      </c>
      <c r="Y151" s="274"/>
      <c r="Z151" s="274" t="s">
        <v>797</v>
      </c>
      <c r="AA151" s="277" t="s">
        <v>507</v>
      </c>
      <c r="AB151" s="274" t="s">
        <v>797</v>
      </c>
      <c r="AC151" s="274"/>
      <c r="AD151" s="274"/>
      <c r="AE151" s="274"/>
      <c r="AF151" s="274"/>
      <c r="AG151" s="274"/>
      <c r="AH151" s="274"/>
      <c r="AI151" s="274"/>
      <c r="AJ151" s="274"/>
      <c r="AK151" s="274"/>
      <c r="AL151" s="274"/>
      <c r="AM151" t="s">
        <v>1563</v>
      </c>
      <c r="AN151" s="447"/>
      <c r="AO151" s="447" t="s">
        <v>1295</v>
      </c>
      <c r="AP151" s="501" t="s">
        <v>1295</v>
      </c>
      <c r="AU151" t="s">
        <v>504</v>
      </c>
      <c r="AV151" s="510">
        <v>7206.06936416185</v>
      </c>
      <c r="AX151" t="str">
        <f>AY151&amp;COUNTIF($AY$3:AY151,AY151)</f>
        <v>Northumberland1</v>
      </c>
      <c r="AY151" s="512" t="s">
        <v>336</v>
      </c>
      <c r="AZ151" s="512" t="s">
        <v>451</v>
      </c>
      <c r="BA151" s="514">
        <v>6973.3230000000003</v>
      </c>
    </row>
    <row r="152" spans="1:53">
      <c r="A152" s="274"/>
      <c r="B152" s="274"/>
      <c r="C152" s="274"/>
      <c r="D152" s="274"/>
      <c r="E152" s="274"/>
      <c r="F152" s="274"/>
      <c r="G152" s="274"/>
      <c r="H152" s="274"/>
      <c r="I152" s="274"/>
      <c r="J152" s="274"/>
      <c r="K152" s="274"/>
      <c r="L152" s="274"/>
      <c r="M152" s="274"/>
      <c r="N152" s="274"/>
      <c r="O152" s="274" t="s">
        <v>799</v>
      </c>
      <c r="P152" s="277" t="s">
        <v>513</v>
      </c>
      <c r="Q152" s="275" t="str">
        <f t="shared" si="2"/>
        <v>E10000034</v>
      </c>
      <c r="R152" s="274"/>
      <c r="S152" s="274"/>
      <c r="T152" s="274"/>
      <c r="U152" s="274" t="s">
        <v>514</v>
      </c>
      <c r="V152" s="274" t="s">
        <v>515</v>
      </c>
      <c r="W152" s="276">
        <v>3182</v>
      </c>
      <c r="X152" s="274">
        <v>10481</v>
      </c>
      <c r="Y152" s="274"/>
      <c r="Z152" s="274" t="s">
        <v>798</v>
      </c>
      <c r="AA152" s="277" t="s">
        <v>510</v>
      </c>
      <c r="AB152" s="274" t="s">
        <v>798</v>
      </c>
      <c r="AC152" s="274"/>
      <c r="AD152" s="274"/>
      <c r="AE152" s="274"/>
      <c r="AF152" s="274"/>
      <c r="AG152" s="274"/>
      <c r="AH152" s="274"/>
      <c r="AI152" s="274"/>
      <c r="AJ152" s="274"/>
      <c r="AK152" s="274"/>
      <c r="AL152" s="274"/>
      <c r="AM152" t="s">
        <v>1563</v>
      </c>
      <c r="AN152" s="447"/>
      <c r="AO152" s="447" t="s">
        <v>1295</v>
      </c>
      <c r="AP152" s="501" t="s">
        <v>1295</v>
      </c>
      <c r="AU152" t="s">
        <v>507</v>
      </c>
      <c r="AV152" s="510">
        <v>2147.6878612716764</v>
      </c>
      <c r="AX152" t="str">
        <f>AY152&amp;COUNTIF($AY$3:AY152,AY152)</f>
        <v>Nottingham1</v>
      </c>
      <c r="AY152" s="512" t="s">
        <v>339</v>
      </c>
      <c r="AZ152" s="512" t="s">
        <v>457</v>
      </c>
      <c r="BA152" s="514">
        <v>7104.2939999999999</v>
      </c>
    </row>
    <row r="153" spans="1:53">
      <c r="A153" s="274"/>
      <c r="B153" s="274"/>
      <c r="C153" s="274"/>
      <c r="D153" s="274"/>
      <c r="E153" s="274"/>
      <c r="F153" s="274"/>
      <c r="G153" s="274"/>
      <c r="H153" s="274"/>
      <c r="I153" s="274"/>
      <c r="J153" s="274"/>
      <c r="K153" s="274"/>
      <c r="L153" s="274"/>
      <c r="M153" s="274"/>
      <c r="N153" s="274"/>
      <c r="O153" s="274" t="s">
        <v>800</v>
      </c>
      <c r="P153" s="277" t="s">
        <v>516</v>
      </c>
      <c r="Q153" s="275" t="str">
        <f t="shared" si="2"/>
        <v>E06000014</v>
      </c>
      <c r="R153" s="274"/>
      <c r="S153" s="274"/>
      <c r="T153" s="274"/>
      <c r="U153" s="274" t="s">
        <v>517</v>
      </c>
      <c r="V153" s="274" t="s">
        <v>518</v>
      </c>
      <c r="W153" s="276">
        <v>7097</v>
      </c>
      <c r="X153" s="274">
        <v>20795</v>
      </c>
      <c r="Y153" s="274"/>
      <c r="Z153" s="274" t="s">
        <v>799</v>
      </c>
      <c r="AA153" s="277" t="s">
        <v>513</v>
      </c>
      <c r="AB153" s="274" t="s">
        <v>799</v>
      </c>
      <c r="AC153" s="274"/>
      <c r="AD153" s="274"/>
      <c r="AE153" s="274"/>
      <c r="AF153" s="274"/>
      <c r="AG153" s="274"/>
      <c r="AH153" s="274"/>
      <c r="AI153" s="274"/>
      <c r="AJ153" s="274"/>
      <c r="AK153" s="274"/>
      <c r="AL153" s="274"/>
      <c r="AM153" t="s">
        <v>1563</v>
      </c>
      <c r="AN153" s="447"/>
      <c r="AO153" s="447" t="s">
        <v>1295</v>
      </c>
      <c r="AP153" s="501" t="s">
        <v>1295</v>
      </c>
      <c r="AU153" t="s">
        <v>510</v>
      </c>
      <c r="AV153" s="510">
        <v>5184.6820809248557</v>
      </c>
      <c r="AX153" t="str">
        <f>AY153&amp;COUNTIF($AY$3:AY153,AY153)</f>
        <v>Nottinghamshire1</v>
      </c>
      <c r="AY153" s="513" t="s">
        <v>342</v>
      </c>
      <c r="AZ153" s="513" t="s">
        <v>46</v>
      </c>
      <c r="BA153" s="514">
        <v>2276.8645070422535</v>
      </c>
    </row>
    <row r="154" spans="1:53">
      <c r="A154" s="274"/>
      <c r="B154" s="274"/>
      <c r="C154" s="274"/>
      <c r="D154" s="274"/>
      <c r="E154" s="274"/>
      <c r="F154" s="274"/>
      <c r="G154" s="274"/>
      <c r="H154" s="274"/>
      <c r="I154" s="274"/>
      <c r="J154" s="274"/>
      <c r="K154" s="274"/>
      <c r="L154" s="274"/>
      <c r="M154" s="274"/>
      <c r="N154" s="274"/>
      <c r="O154" s="274"/>
      <c r="P154" s="280"/>
      <c r="Q154" s="275"/>
      <c r="R154" s="274"/>
      <c r="S154" s="274"/>
      <c r="T154" s="274"/>
      <c r="U154" s="274" t="s">
        <v>519</v>
      </c>
      <c r="V154" s="274" t="s">
        <v>520</v>
      </c>
      <c r="W154" s="276">
        <v>4243</v>
      </c>
      <c r="X154" s="274">
        <v>12341</v>
      </c>
      <c r="Y154" s="274"/>
      <c r="Z154" s="274" t="s">
        <v>800</v>
      </c>
      <c r="AA154" s="277" t="s">
        <v>516</v>
      </c>
      <c r="AB154" s="274" t="s">
        <v>800</v>
      </c>
      <c r="AC154" s="274"/>
      <c r="AD154" s="274"/>
      <c r="AE154" s="274"/>
      <c r="AF154" s="274"/>
      <c r="AG154" s="274"/>
      <c r="AH154" s="274"/>
      <c r="AI154" s="274"/>
      <c r="AJ154" s="274"/>
      <c r="AK154" s="274"/>
      <c r="AL154" s="274"/>
      <c r="AM154" t="s">
        <v>1563</v>
      </c>
      <c r="AN154" s="447"/>
      <c r="AO154" s="447" t="s">
        <v>1295</v>
      </c>
      <c r="AP154" s="501" t="s">
        <v>1295</v>
      </c>
      <c r="AU154" t="s">
        <v>513</v>
      </c>
      <c r="AV154" s="510">
        <v>9684.1040462427736</v>
      </c>
      <c r="AX154" t="str">
        <f>AY154&amp;COUNTIF($AY$3:AY154,AY154)</f>
        <v>Nottinghamshire2</v>
      </c>
      <c r="AY154" s="513" t="s">
        <v>342</v>
      </c>
      <c r="AZ154" s="513" t="s">
        <v>1211</v>
      </c>
      <c r="BA154" s="514">
        <v>3935.7229336016098</v>
      </c>
    </row>
    <row r="155" spans="1:53">
      <c r="A155" s="274"/>
      <c r="B155" s="274"/>
      <c r="C155" s="274"/>
      <c r="D155" s="274"/>
      <c r="E155" s="274"/>
      <c r="F155" s="274"/>
      <c r="G155" s="274"/>
      <c r="H155" s="274"/>
      <c r="I155" s="274"/>
      <c r="J155" s="274"/>
      <c r="K155" s="274"/>
      <c r="L155" s="274"/>
      <c r="M155" s="274"/>
      <c r="N155" s="274"/>
      <c r="O155" s="274"/>
      <c r="P155" s="280"/>
      <c r="Q155" s="275"/>
      <c r="R155" s="274"/>
      <c r="S155" s="274"/>
      <c r="T155" s="274"/>
      <c r="U155" s="274" t="s">
        <v>521</v>
      </c>
      <c r="V155" s="274" t="s">
        <v>522</v>
      </c>
      <c r="W155" s="276">
        <v>3483</v>
      </c>
      <c r="X155" s="274">
        <v>11617</v>
      </c>
      <c r="Y155" s="274"/>
      <c r="Z155" s="274"/>
      <c r="AA155" s="274"/>
      <c r="AB155" s="274"/>
      <c r="AC155" s="274"/>
      <c r="AD155" s="274"/>
      <c r="AE155" s="274"/>
      <c r="AF155" s="274"/>
      <c r="AG155" s="274"/>
      <c r="AH155" s="274"/>
      <c r="AI155" s="274"/>
      <c r="AJ155" s="274"/>
      <c r="AK155" s="274"/>
      <c r="AL155" s="274"/>
      <c r="AM155" t="s">
        <v>1636</v>
      </c>
      <c r="AN155" s="120" t="s">
        <v>255</v>
      </c>
      <c r="AO155" s="120" t="s">
        <v>316</v>
      </c>
      <c r="AP155" s="502">
        <v>19824</v>
      </c>
      <c r="AU155" t="s">
        <v>516</v>
      </c>
      <c r="AV155" s="510">
        <v>3230.057803468208</v>
      </c>
      <c r="AX155" t="str">
        <f>AY155&amp;COUNTIF($AY$3:AY155,AY155)</f>
        <v>Nottinghamshire3</v>
      </c>
      <c r="AY155" s="513" t="s">
        <v>342</v>
      </c>
      <c r="AZ155" s="513" t="s">
        <v>1319</v>
      </c>
      <c r="BA155" s="514">
        <v>2309.3911428571428</v>
      </c>
    </row>
    <row r="156" spans="1:53">
      <c r="A156" s="274"/>
      <c r="B156" s="274"/>
      <c r="C156" s="274"/>
      <c r="D156" s="274"/>
      <c r="E156" s="274"/>
      <c r="F156" s="274"/>
      <c r="G156" s="274"/>
      <c r="H156" s="274"/>
      <c r="I156" s="274"/>
      <c r="J156" s="274"/>
      <c r="K156" s="274"/>
      <c r="L156" s="274"/>
      <c r="M156" s="274"/>
      <c r="N156" s="274"/>
      <c r="O156" s="274"/>
      <c r="P156" s="275"/>
      <c r="Q156" s="275"/>
      <c r="R156" s="274"/>
      <c r="S156" s="274"/>
      <c r="T156" s="274"/>
      <c r="U156" s="274" t="s">
        <v>523</v>
      </c>
      <c r="V156" s="274" t="s">
        <v>524</v>
      </c>
      <c r="W156" s="276">
        <v>4286</v>
      </c>
      <c r="X156" s="274">
        <v>13525</v>
      </c>
      <c r="Y156" s="274"/>
      <c r="Z156" s="274"/>
      <c r="AA156" s="274"/>
      <c r="AB156" s="274"/>
      <c r="AC156" s="274"/>
      <c r="AD156" s="274"/>
      <c r="AE156" s="274"/>
      <c r="AF156" s="274"/>
      <c r="AG156" s="274"/>
      <c r="AH156" s="274"/>
      <c r="AI156" s="274"/>
      <c r="AJ156" s="274"/>
      <c r="AK156" s="274"/>
      <c r="AL156" s="274"/>
      <c r="AM156" t="s">
        <v>1637</v>
      </c>
      <c r="AN156" s="447" t="s">
        <v>258</v>
      </c>
      <c r="AO156" s="447" t="s">
        <v>331</v>
      </c>
      <c r="AP156" s="501">
        <v>9882</v>
      </c>
      <c r="AU156" t="s">
        <v>1307</v>
      </c>
      <c r="AV156" s="510">
        <v>0</v>
      </c>
      <c r="AX156" t="str">
        <f>AY156&amp;COUNTIF($AY$3:AY156,AY156)</f>
        <v>Nottinghamshire4</v>
      </c>
      <c r="AY156" s="513" t="s">
        <v>342</v>
      </c>
      <c r="AZ156" s="513" t="s">
        <v>1212</v>
      </c>
      <c r="BA156" s="514">
        <v>3122.5570382293758</v>
      </c>
    </row>
    <row r="157" spans="1:53">
      <c r="A157" s="274"/>
      <c r="B157" s="274"/>
      <c r="C157" s="274"/>
      <c r="D157" s="274"/>
      <c r="E157" s="274"/>
      <c r="F157" s="274"/>
      <c r="G157" s="274"/>
      <c r="H157" s="274"/>
      <c r="I157" s="274"/>
      <c r="J157" s="274"/>
      <c r="K157" s="274"/>
      <c r="L157" s="274"/>
      <c r="M157" s="274"/>
      <c r="N157" s="274"/>
      <c r="O157" s="274"/>
      <c r="P157" s="275"/>
      <c r="Q157" s="275"/>
      <c r="R157" s="274"/>
      <c r="S157" s="274"/>
      <c r="T157" s="274"/>
      <c r="U157" s="274" t="s">
        <v>525</v>
      </c>
      <c r="V157" s="274" t="s">
        <v>526</v>
      </c>
      <c r="W157" s="276">
        <v>3884</v>
      </c>
      <c r="X157" s="274">
        <v>13283</v>
      </c>
      <c r="Y157" s="274"/>
      <c r="Z157" s="274"/>
      <c r="AA157" s="274"/>
      <c r="AB157" s="274"/>
      <c r="AC157" s="274"/>
      <c r="AD157" s="274"/>
      <c r="AE157" s="274"/>
      <c r="AF157" s="274"/>
      <c r="AG157" s="274"/>
      <c r="AH157" s="274"/>
      <c r="AI157" s="274"/>
      <c r="AJ157" s="274"/>
      <c r="AK157" s="274"/>
      <c r="AL157" s="274"/>
      <c r="AM157" t="s">
        <v>1638</v>
      </c>
      <c r="AN157" s="120" t="s">
        <v>261</v>
      </c>
      <c r="AO157" s="120" t="s">
        <v>424</v>
      </c>
      <c r="AP157" s="502">
        <v>11858</v>
      </c>
      <c r="AU157" t="s">
        <v>1308</v>
      </c>
      <c r="AV157" s="510">
        <v>1000000.0000000002</v>
      </c>
      <c r="AX157" t="str">
        <f>AY157&amp;COUNTIF($AY$3:AY157,AY157)</f>
        <v>Nottinghamshire5</v>
      </c>
      <c r="AY157" s="513" t="s">
        <v>342</v>
      </c>
      <c r="AZ157" s="513" t="s">
        <v>463</v>
      </c>
      <c r="BA157" s="514">
        <v>2309.3911428571428</v>
      </c>
    </row>
    <row r="158" spans="1:53">
      <c r="A158" s="274"/>
      <c r="B158" s="274"/>
      <c r="C158" s="274"/>
      <c r="D158" s="274"/>
      <c r="E158" s="274"/>
      <c r="F158" s="274"/>
      <c r="G158" s="274"/>
      <c r="H158" s="274"/>
      <c r="I158" s="274"/>
      <c r="J158" s="274"/>
      <c r="K158" s="274"/>
      <c r="L158" s="274"/>
      <c r="M158" s="274"/>
      <c r="N158" s="274"/>
      <c r="O158" s="274"/>
      <c r="P158" s="275"/>
      <c r="Q158" s="275"/>
      <c r="R158" s="274"/>
      <c r="S158" s="274"/>
      <c r="T158" s="274"/>
      <c r="U158" s="274" t="s">
        <v>527</v>
      </c>
      <c r="V158" s="274" t="s">
        <v>528</v>
      </c>
      <c r="W158" s="276">
        <v>3087</v>
      </c>
      <c r="X158" s="274">
        <v>9810</v>
      </c>
      <c r="Y158" s="274"/>
      <c r="Z158" s="274"/>
      <c r="AA158" s="274"/>
      <c r="AB158" s="274"/>
      <c r="AC158" s="274"/>
      <c r="AD158" s="274"/>
      <c r="AE158" s="274"/>
      <c r="AF158" s="274"/>
      <c r="AG158" s="274"/>
      <c r="AH158" s="274"/>
      <c r="AI158" s="274"/>
      <c r="AJ158" s="274"/>
      <c r="AK158" s="274"/>
      <c r="AL158" s="274"/>
      <c r="AM158" t="s">
        <v>1639</v>
      </c>
      <c r="AN158" s="120" t="s">
        <v>261</v>
      </c>
      <c r="AO158" s="120" t="s">
        <v>253</v>
      </c>
      <c r="AP158" s="502">
        <v>14697</v>
      </c>
      <c r="AX158" t="str">
        <f>AY158&amp;COUNTIF($AY$3:AY158,AY158)</f>
        <v>Nottinghamshire6</v>
      </c>
      <c r="AY158" s="513" t="s">
        <v>342</v>
      </c>
      <c r="AZ158" s="513" t="s">
        <v>487</v>
      </c>
      <c r="BA158" s="514">
        <v>2211.8112354124751</v>
      </c>
    </row>
    <row r="159" spans="1:53">
      <c r="A159" s="274"/>
      <c r="B159" s="274"/>
      <c r="C159" s="274"/>
      <c r="D159" s="274"/>
      <c r="E159" s="274"/>
      <c r="F159" s="274"/>
      <c r="G159" s="274"/>
      <c r="H159" s="274"/>
      <c r="I159" s="274"/>
      <c r="J159" s="274"/>
      <c r="K159" s="274"/>
      <c r="L159" s="274"/>
      <c r="M159" s="274"/>
      <c r="N159" s="274"/>
      <c r="O159" s="274"/>
      <c r="P159" s="275"/>
      <c r="Q159" s="275"/>
      <c r="R159" s="274"/>
      <c r="S159" s="274"/>
      <c r="T159" s="274"/>
      <c r="U159" s="274" t="s">
        <v>529</v>
      </c>
      <c r="V159" s="274" t="s">
        <v>530</v>
      </c>
      <c r="W159" s="276">
        <v>4116</v>
      </c>
      <c r="X159" s="274">
        <v>11638</v>
      </c>
      <c r="Y159" s="274"/>
      <c r="Z159" s="274"/>
      <c r="AA159" s="274"/>
      <c r="AB159" s="274"/>
      <c r="AC159" s="274"/>
      <c r="AD159" s="274"/>
      <c r="AE159" s="274"/>
      <c r="AF159" s="274"/>
      <c r="AG159" s="274"/>
      <c r="AH159" s="274"/>
      <c r="AI159" s="274"/>
      <c r="AJ159" s="274"/>
      <c r="AK159" s="274"/>
      <c r="AL159" s="274"/>
      <c r="AM159" t="s">
        <v>1640</v>
      </c>
      <c r="AN159" s="447" t="s">
        <v>264</v>
      </c>
      <c r="AO159" s="447" t="s">
        <v>334</v>
      </c>
      <c r="AP159" s="501">
        <v>13420</v>
      </c>
      <c r="AX159" t="str">
        <f>AY159&amp;COUNTIF($AY$3:AY159,AY159)</f>
        <v>Oldham1</v>
      </c>
      <c r="AY159" s="512" t="s">
        <v>345</v>
      </c>
      <c r="AZ159" s="512" t="s">
        <v>466</v>
      </c>
      <c r="BA159" s="514">
        <v>5144.1239999999998</v>
      </c>
    </row>
    <row r="160" spans="1:53">
      <c r="A160" s="274"/>
      <c r="B160" s="274"/>
      <c r="C160" s="274"/>
      <c r="D160" s="274"/>
      <c r="E160" s="274"/>
      <c r="F160" s="274"/>
      <c r="G160" s="274"/>
      <c r="H160" s="274"/>
      <c r="I160" s="274"/>
      <c r="J160" s="274"/>
      <c r="K160" s="274"/>
      <c r="L160" s="274"/>
      <c r="M160" s="274"/>
      <c r="N160" s="274"/>
      <c r="O160" s="274"/>
      <c r="P160" s="275"/>
      <c r="Q160" s="275"/>
      <c r="R160" s="274"/>
      <c r="S160" s="274"/>
      <c r="T160" s="274"/>
      <c r="U160" s="274" t="s">
        <v>531</v>
      </c>
      <c r="V160" s="274" t="s">
        <v>532</v>
      </c>
      <c r="W160" s="276">
        <v>5197</v>
      </c>
      <c r="X160" s="274">
        <v>14020</v>
      </c>
      <c r="Y160" s="274"/>
      <c r="Z160" s="274"/>
      <c r="AA160" s="274"/>
      <c r="AB160" s="274"/>
      <c r="AC160" s="274"/>
      <c r="AD160" s="274"/>
      <c r="AE160" s="274"/>
      <c r="AF160" s="274"/>
      <c r="AG160" s="274"/>
      <c r="AH160" s="274"/>
      <c r="AI160" s="274"/>
      <c r="AJ160" s="274"/>
      <c r="AK160" s="274"/>
      <c r="AL160" s="274"/>
      <c r="AM160" t="s">
        <v>1641</v>
      </c>
      <c r="AN160" s="120" t="s">
        <v>267</v>
      </c>
      <c r="AO160" s="120" t="s">
        <v>337</v>
      </c>
      <c r="AP160" s="502">
        <v>22007</v>
      </c>
      <c r="AX160" t="str">
        <f>AY160&amp;COUNTIF($AY$3:AY160,AY160)</f>
        <v>Oxfordshire1</v>
      </c>
      <c r="AY160" s="513" t="s">
        <v>348</v>
      </c>
      <c r="AZ160" s="513" t="s">
        <v>469</v>
      </c>
      <c r="BA160" s="514">
        <v>10270.705857493858</v>
      </c>
    </row>
    <row r="161" spans="1:53">
      <c r="A161" s="274"/>
      <c r="B161" s="274"/>
      <c r="C161" s="274"/>
      <c r="D161" s="274"/>
      <c r="E161" s="274"/>
      <c r="F161" s="274"/>
      <c r="G161" s="274"/>
      <c r="H161" s="274"/>
      <c r="I161" s="274"/>
      <c r="J161" s="274"/>
      <c r="K161" s="274"/>
      <c r="L161" s="274"/>
      <c r="M161" s="274"/>
      <c r="N161" s="274"/>
      <c r="O161" s="274"/>
      <c r="P161" s="275"/>
      <c r="Q161" s="275"/>
      <c r="R161" s="274"/>
      <c r="S161" s="274"/>
      <c r="T161" s="274"/>
      <c r="U161" s="274" t="s">
        <v>533</v>
      </c>
      <c r="V161" s="274" t="s">
        <v>534</v>
      </c>
      <c r="W161" s="276">
        <v>1749</v>
      </c>
      <c r="X161" s="274">
        <v>6166</v>
      </c>
      <c r="Y161" s="274"/>
      <c r="Z161" s="274"/>
      <c r="AA161" s="274"/>
      <c r="AB161" s="274"/>
      <c r="AC161" s="274"/>
      <c r="AD161" s="274"/>
      <c r="AE161" s="274"/>
      <c r="AF161" s="274"/>
      <c r="AG161" s="274"/>
      <c r="AH161" s="274"/>
      <c r="AI161" s="274"/>
      <c r="AJ161" s="274"/>
      <c r="AK161" s="274"/>
      <c r="AL161" s="274"/>
      <c r="AM161" t="s">
        <v>1642</v>
      </c>
      <c r="AN161" s="447" t="s">
        <v>270</v>
      </c>
      <c r="AO161" s="447" t="s">
        <v>613</v>
      </c>
      <c r="AP161" s="501">
        <v>7419</v>
      </c>
      <c r="AX161" t="str">
        <f>AY161&amp;COUNTIF($AY$3:AY161,AY161)</f>
        <v>Oxfordshire2</v>
      </c>
      <c r="AY161" s="513" t="s">
        <v>348</v>
      </c>
      <c r="AZ161" s="513" t="s">
        <v>17</v>
      </c>
      <c r="BA161" s="514">
        <v>129.02896805896805</v>
      </c>
    </row>
    <row r="162" spans="1:53">
      <c r="A162" s="274"/>
      <c r="B162" s="274"/>
      <c r="C162" s="274"/>
      <c r="D162" s="274"/>
      <c r="E162" s="274"/>
      <c r="F162" s="274"/>
      <c r="G162" s="274"/>
      <c r="H162" s="274"/>
      <c r="I162" s="274"/>
      <c r="J162" s="274"/>
      <c r="K162" s="274"/>
      <c r="L162" s="274"/>
      <c r="M162" s="274"/>
      <c r="N162" s="274"/>
      <c r="O162" s="274"/>
      <c r="P162" s="275"/>
      <c r="Q162" s="275"/>
      <c r="R162" s="274"/>
      <c r="S162" s="274"/>
      <c r="T162" s="274"/>
      <c r="U162" s="274" t="s">
        <v>535</v>
      </c>
      <c r="V162" s="274" t="s">
        <v>536</v>
      </c>
      <c r="W162" s="276">
        <v>4105</v>
      </c>
      <c r="X162" s="274">
        <v>12387</v>
      </c>
      <c r="Y162" s="274"/>
      <c r="Z162" s="274"/>
      <c r="AA162" s="274"/>
      <c r="AB162" s="274"/>
      <c r="AC162" s="274"/>
      <c r="AD162" s="274"/>
      <c r="AE162" s="274"/>
      <c r="AF162" s="274"/>
      <c r="AG162" s="274"/>
      <c r="AH162" s="274"/>
      <c r="AI162" s="274"/>
      <c r="AJ162" s="274"/>
      <c r="AK162" s="274"/>
      <c r="AL162" s="274"/>
      <c r="AM162" t="s">
        <v>1643</v>
      </c>
      <c r="AN162" s="447" t="s">
        <v>270</v>
      </c>
      <c r="AO162" s="447" t="s">
        <v>340</v>
      </c>
      <c r="AP162" s="501">
        <v>10462</v>
      </c>
      <c r="AX162" t="str">
        <f>AY162&amp;COUNTIF($AY$3:AY162,AY162)</f>
        <v>Oxfordshire3</v>
      </c>
      <c r="AY162" s="513" t="s">
        <v>348</v>
      </c>
      <c r="AZ162" s="513" t="s">
        <v>575</v>
      </c>
      <c r="BA162" s="514">
        <v>103.22317444717444</v>
      </c>
    </row>
    <row r="163" spans="1:53">
      <c r="A163" s="274"/>
      <c r="B163" s="274"/>
      <c r="C163" s="274"/>
      <c r="D163" s="274"/>
      <c r="E163" s="274"/>
      <c r="F163" s="274"/>
      <c r="G163" s="274"/>
      <c r="H163" s="274"/>
      <c r="I163" s="274"/>
      <c r="J163" s="274"/>
      <c r="K163" s="274"/>
      <c r="L163" s="274"/>
      <c r="M163" s="274"/>
      <c r="N163" s="274"/>
      <c r="O163" s="274"/>
      <c r="P163" s="275"/>
      <c r="Q163" s="275"/>
      <c r="R163" s="274"/>
      <c r="S163" s="274"/>
      <c r="T163" s="274"/>
      <c r="U163" s="274" t="s">
        <v>537</v>
      </c>
      <c r="V163" s="274" t="s">
        <v>538</v>
      </c>
      <c r="W163" s="276">
        <v>6775</v>
      </c>
      <c r="X163" s="274">
        <v>20844</v>
      </c>
      <c r="Y163" s="274"/>
      <c r="Z163" s="274"/>
      <c r="AA163" s="274"/>
      <c r="AB163" s="274"/>
      <c r="AC163" s="274"/>
      <c r="AD163" s="274"/>
      <c r="AE163" s="274"/>
      <c r="AF163" s="274"/>
      <c r="AG163" s="274"/>
      <c r="AH163" s="274"/>
      <c r="AI163" s="274"/>
      <c r="AJ163" s="274"/>
      <c r="AK163" s="274"/>
      <c r="AL163" s="274"/>
      <c r="AM163" t="s">
        <v>1644</v>
      </c>
      <c r="AN163" s="447" t="s">
        <v>270</v>
      </c>
      <c r="AO163" s="447" t="s">
        <v>256</v>
      </c>
      <c r="AP163" s="501">
        <v>13223</v>
      </c>
      <c r="AX163" t="str">
        <f>AY163&amp;COUNTIF($AY$3:AY163,AY163)</f>
        <v>Peterborough1</v>
      </c>
      <c r="AY163" s="512" t="s">
        <v>351</v>
      </c>
      <c r="AZ163" s="512" t="s">
        <v>115</v>
      </c>
      <c r="BA163" s="514">
        <v>3637.614</v>
      </c>
    </row>
    <row r="164" spans="1:53">
      <c r="A164" s="274"/>
      <c r="B164" s="274"/>
      <c r="C164" s="274"/>
      <c r="D164" s="274"/>
      <c r="E164" s="274"/>
      <c r="F164" s="274"/>
      <c r="G164" s="274"/>
      <c r="H164" s="274"/>
      <c r="I164" s="274"/>
      <c r="J164" s="274"/>
      <c r="K164" s="274"/>
      <c r="L164" s="274"/>
      <c r="M164" s="274"/>
      <c r="N164" s="274"/>
      <c r="O164" s="274"/>
      <c r="P164" s="275"/>
      <c r="Q164" s="275"/>
      <c r="R164" s="274"/>
      <c r="S164" s="274"/>
      <c r="T164" s="274"/>
      <c r="U164" s="274" t="s">
        <v>539</v>
      </c>
      <c r="V164" s="274" t="s">
        <v>540</v>
      </c>
      <c r="W164" s="276">
        <v>4195</v>
      </c>
      <c r="X164" s="274">
        <v>12515</v>
      </c>
      <c r="Y164" s="274"/>
      <c r="Z164" s="274"/>
      <c r="AA164" s="274"/>
      <c r="AB164" s="274"/>
      <c r="AC164" s="274"/>
      <c r="AD164" s="274"/>
      <c r="AE164" s="274"/>
      <c r="AF164" s="274"/>
      <c r="AG164" s="274"/>
      <c r="AH164" s="274"/>
      <c r="AI164" s="274"/>
      <c r="AJ164" s="274"/>
      <c r="AK164" s="274"/>
      <c r="AL164" s="274"/>
      <c r="AM164" t="s">
        <v>1645</v>
      </c>
      <c r="AN164" s="447" t="s">
        <v>270</v>
      </c>
      <c r="AO164" s="447" t="s">
        <v>239</v>
      </c>
      <c r="AP164" s="501">
        <v>10961</v>
      </c>
      <c r="AX164" t="str">
        <f>AY164&amp;COUNTIF($AY$3:AY164,AY164)</f>
        <v>Plymouth1</v>
      </c>
      <c r="AY164" s="512" t="s">
        <v>354</v>
      </c>
      <c r="AZ164" s="512" t="s">
        <v>448</v>
      </c>
      <c r="BA164" s="514">
        <v>5885.4790000000003</v>
      </c>
    </row>
    <row r="165" spans="1:53">
      <c r="A165" s="274"/>
      <c r="B165" s="274"/>
      <c r="C165" s="274"/>
      <c r="D165" s="274"/>
      <c r="E165" s="274"/>
      <c r="F165" s="274"/>
      <c r="G165" s="274"/>
      <c r="H165" s="274"/>
      <c r="I165" s="274"/>
      <c r="J165" s="274"/>
      <c r="K165" s="274"/>
      <c r="L165" s="274"/>
      <c r="M165" s="274"/>
      <c r="N165" s="274"/>
      <c r="O165" s="274"/>
      <c r="P165" s="275"/>
      <c r="Q165" s="275"/>
      <c r="R165" s="274"/>
      <c r="S165" s="274"/>
      <c r="T165" s="274"/>
      <c r="U165" s="274" t="s">
        <v>541</v>
      </c>
      <c r="V165" s="274" t="s">
        <v>542</v>
      </c>
      <c r="W165" s="276">
        <v>4804</v>
      </c>
      <c r="X165" s="274">
        <v>15500</v>
      </c>
      <c r="Y165" s="274"/>
      <c r="Z165" s="274"/>
      <c r="AA165" s="274"/>
      <c r="AB165" s="274"/>
      <c r="AC165" s="274"/>
      <c r="AD165" s="274"/>
      <c r="AE165" s="274"/>
      <c r="AF165" s="274"/>
      <c r="AG165" s="274"/>
      <c r="AH165" s="274"/>
      <c r="AI165" s="274"/>
      <c r="AJ165" s="274"/>
      <c r="AK165" s="274"/>
      <c r="AL165" s="274"/>
      <c r="AM165" t="s">
        <v>1646</v>
      </c>
      <c r="AN165" s="447" t="s">
        <v>270</v>
      </c>
      <c r="AO165" s="447" t="s">
        <v>1230</v>
      </c>
      <c r="AP165" s="501">
        <v>26095</v>
      </c>
      <c r="AX165" t="str">
        <f>AY165&amp;COUNTIF($AY$3:AY165,AY165)</f>
        <v>Poole1</v>
      </c>
      <c r="AY165" s="512" t="s">
        <v>960</v>
      </c>
      <c r="AZ165" s="512" t="s">
        <v>185</v>
      </c>
      <c r="BA165" s="514">
        <v>2922.09</v>
      </c>
    </row>
    <row r="166" spans="1:53">
      <c r="A166" s="274"/>
      <c r="B166" s="274"/>
      <c r="C166" s="274"/>
      <c r="D166" s="274"/>
      <c r="E166" s="274"/>
      <c r="F166" s="274"/>
      <c r="G166" s="274"/>
      <c r="H166" s="274"/>
      <c r="I166" s="274"/>
      <c r="J166" s="274"/>
      <c r="K166" s="274"/>
      <c r="L166" s="274"/>
      <c r="M166" s="274"/>
      <c r="N166" s="274"/>
      <c r="O166" s="274"/>
      <c r="P166" s="275"/>
      <c r="Q166" s="275"/>
      <c r="R166" s="274"/>
      <c r="S166" s="274"/>
      <c r="T166" s="274"/>
      <c r="U166" s="274" t="s">
        <v>543</v>
      </c>
      <c r="V166" s="274" t="s">
        <v>544</v>
      </c>
      <c r="W166" s="276">
        <v>2499</v>
      </c>
      <c r="X166" s="274">
        <v>7905</v>
      </c>
      <c r="Y166" s="274"/>
      <c r="Z166" s="274"/>
      <c r="AA166" s="274"/>
      <c r="AB166" s="274"/>
      <c r="AC166" s="274"/>
      <c r="AD166" s="274"/>
      <c r="AE166" s="274"/>
      <c r="AF166" s="274"/>
      <c r="AG166" s="274"/>
      <c r="AH166" s="274"/>
      <c r="AI166" s="274"/>
      <c r="AJ166" s="274"/>
      <c r="AK166" s="274"/>
      <c r="AL166" s="274"/>
      <c r="AM166" t="s">
        <v>1647</v>
      </c>
      <c r="AN166" s="447" t="s">
        <v>270</v>
      </c>
      <c r="AO166" s="447" t="s">
        <v>144</v>
      </c>
      <c r="AP166" s="501">
        <v>11332</v>
      </c>
      <c r="AX166" t="str">
        <f>AY166&amp;COUNTIF($AY$3:AY166,AY166)</f>
        <v>Portsmouth1</v>
      </c>
      <c r="AY166" s="512" t="s">
        <v>357</v>
      </c>
      <c r="AZ166" s="512" t="s">
        <v>472</v>
      </c>
      <c r="BA166" s="514">
        <v>4081.0790000000002</v>
      </c>
    </row>
    <row r="167" spans="1:53">
      <c r="A167" s="274"/>
      <c r="B167" s="274"/>
      <c r="C167" s="274"/>
      <c r="D167" s="274"/>
      <c r="E167" s="274"/>
      <c r="F167" s="274"/>
      <c r="G167" s="274"/>
      <c r="H167" s="274"/>
      <c r="I167" s="274"/>
      <c r="J167" s="274"/>
      <c r="K167" s="274"/>
      <c r="L167" s="274"/>
      <c r="M167" s="274"/>
      <c r="N167" s="274"/>
      <c r="O167" s="274"/>
      <c r="P167" s="275"/>
      <c r="Q167" s="275"/>
      <c r="R167" s="274"/>
      <c r="S167" s="274"/>
      <c r="T167" s="274"/>
      <c r="U167" s="274" t="s">
        <v>545</v>
      </c>
      <c r="V167" s="274" t="s">
        <v>546</v>
      </c>
      <c r="W167" s="276">
        <v>5585</v>
      </c>
      <c r="X167" s="274">
        <v>16866</v>
      </c>
      <c r="Y167" s="274"/>
      <c r="Z167" s="274"/>
      <c r="AA167" s="274"/>
      <c r="AB167" s="274"/>
      <c r="AC167" s="274"/>
      <c r="AD167" s="274"/>
      <c r="AE167" s="274"/>
      <c r="AF167" s="274"/>
      <c r="AG167" s="274"/>
      <c r="AH167" s="274"/>
      <c r="AI167" s="274"/>
      <c r="AJ167" s="274"/>
      <c r="AK167" s="274"/>
      <c r="AL167" s="274"/>
      <c r="AM167" t="s">
        <v>1563</v>
      </c>
      <c r="AN167" s="447"/>
      <c r="AO167" s="447" t="s">
        <v>1295</v>
      </c>
      <c r="AP167" s="501" t="s">
        <v>1295</v>
      </c>
      <c r="AX167" t="str">
        <f>AY167&amp;COUNTIF($AY$3:AY167,AY167)</f>
        <v>Reading1</v>
      </c>
      <c r="AY167" s="513" t="s">
        <v>360</v>
      </c>
      <c r="AZ167" s="513" t="s">
        <v>1320</v>
      </c>
      <c r="BA167" s="514">
        <v>861.10284536082463</v>
      </c>
    </row>
    <row r="168" spans="1:53">
      <c r="A168" s="274"/>
      <c r="B168" s="274"/>
      <c r="C168" s="274"/>
      <c r="D168" s="274"/>
      <c r="E168" s="274"/>
      <c r="F168" s="274"/>
      <c r="G168" s="274"/>
      <c r="H168" s="274"/>
      <c r="I168" s="274"/>
      <c r="J168" s="274"/>
      <c r="K168" s="274"/>
      <c r="L168" s="274"/>
      <c r="M168" s="274"/>
      <c r="N168" s="274"/>
      <c r="O168" s="274"/>
      <c r="P168" s="275"/>
      <c r="Q168" s="275"/>
      <c r="R168" s="274"/>
      <c r="S168" s="274"/>
      <c r="T168" s="274"/>
      <c r="U168" s="274" t="s">
        <v>547</v>
      </c>
      <c r="V168" s="274" t="s">
        <v>548</v>
      </c>
      <c r="W168" s="276">
        <v>5085</v>
      </c>
      <c r="X168" s="274">
        <v>15325</v>
      </c>
      <c r="Y168" s="274"/>
      <c r="Z168" s="274"/>
      <c r="AA168" s="274"/>
      <c r="AB168" s="274"/>
      <c r="AC168" s="274"/>
      <c r="AD168" s="274"/>
      <c r="AE168" s="274"/>
      <c r="AF168" s="274"/>
      <c r="AG168" s="274"/>
      <c r="AH168" s="274"/>
      <c r="AI168" s="274"/>
      <c r="AJ168" s="274"/>
      <c r="AK168" s="274"/>
      <c r="AL168" s="274"/>
      <c r="AM168" t="s">
        <v>1563</v>
      </c>
      <c r="AN168" s="447"/>
      <c r="AO168" s="447" t="s">
        <v>1295</v>
      </c>
      <c r="AP168" s="501" t="s">
        <v>1295</v>
      </c>
      <c r="AX168" t="str">
        <f>AY168&amp;COUNTIF($AY$3:AY168,AY168)</f>
        <v>Reading2</v>
      </c>
      <c r="AY168" s="513" t="s">
        <v>360</v>
      </c>
      <c r="AZ168" s="513" t="s">
        <v>533</v>
      </c>
      <c r="BA168" s="514">
        <v>1749.115154639175</v>
      </c>
    </row>
    <row r="169" spans="1:53">
      <c r="A169" s="274"/>
      <c r="B169" s="274"/>
      <c r="C169" s="274"/>
      <c r="D169" s="274"/>
      <c r="E169" s="274"/>
      <c r="F169" s="274"/>
      <c r="G169" s="274"/>
      <c r="H169" s="274"/>
      <c r="I169" s="274"/>
      <c r="J169" s="274"/>
      <c r="K169" s="274"/>
      <c r="L169" s="274"/>
      <c r="M169" s="274"/>
      <c r="N169" s="274"/>
      <c r="O169" s="274"/>
      <c r="P169" s="275"/>
      <c r="Q169" s="275"/>
      <c r="R169" s="274"/>
      <c r="S169" s="274"/>
      <c r="T169" s="274"/>
      <c r="U169" s="274" t="s">
        <v>549</v>
      </c>
      <c r="V169" s="274" t="s">
        <v>550</v>
      </c>
      <c r="W169" s="276">
        <v>3777</v>
      </c>
      <c r="X169" s="274">
        <v>11619</v>
      </c>
      <c r="Y169" s="274"/>
      <c r="Z169" s="274"/>
      <c r="AA169" s="274"/>
      <c r="AB169" s="274"/>
      <c r="AC169" s="274"/>
      <c r="AD169" s="274"/>
      <c r="AE169" s="274"/>
      <c r="AF169" s="274"/>
      <c r="AG169" s="274"/>
      <c r="AH169" s="274"/>
      <c r="AI169" s="274"/>
      <c r="AJ169" s="274"/>
      <c r="AK169" s="274"/>
      <c r="AL169" s="274"/>
      <c r="AM169" t="s">
        <v>1563</v>
      </c>
      <c r="AN169" s="447"/>
      <c r="AO169" s="447" t="s">
        <v>1295</v>
      </c>
      <c r="AP169" s="501" t="s">
        <v>1295</v>
      </c>
      <c r="AX169" t="str">
        <f>AY169&amp;COUNTIF($AY$3:AY169,AY169)</f>
        <v>Redbridge1</v>
      </c>
      <c r="AY169" s="512" t="s">
        <v>363</v>
      </c>
      <c r="AZ169" s="512" t="s">
        <v>475</v>
      </c>
      <c r="BA169" s="514">
        <v>5114.8909999999996</v>
      </c>
    </row>
    <row r="170" spans="1:53">
      <c r="A170" s="274"/>
      <c r="B170" s="274"/>
      <c r="C170" s="274"/>
      <c r="D170" s="274"/>
      <c r="E170" s="274"/>
      <c r="F170" s="274"/>
      <c r="G170" s="274"/>
      <c r="H170" s="274"/>
      <c r="I170" s="274"/>
      <c r="J170" s="274"/>
      <c r="K170" s="274"/>
      <c r="L170" s="274"/>
      <c r="M170" s="274"/>
      <c r="N170" s="274"/>
      <c r="O170" s="274"/>
      <c r="P170" s="275"/>
      <c r="Q170" s="275"/>
      <c r="R170" s="274"/>
      <c r="S170" s="274"/>
      <c r="T170" s="274"/>
      <c r="U170" s="274" t="s">
        <v>551</v>
      </c>
      <c r="V170" s="274" t="s">
        <v>552</v>
      </c>
      <c r="W170" s="276">
        <v>10783</v>
      </c>
      <c r="X170" s="274">
        <v>32829</v>
      </c>
      <c r="Y170" s="274"/>
      <c r="Z170" s="274"/>
      <c r="AA170" s="274"/>
      <c r="AB170" s="274"/>
      <c r="AC170" s="274"/>
      <c r="AD170" s="274"/>
      <c r="AE170" s="274"/>
      <c r="AF170" s="274"/>
      <c r="AG170" s="274"/>
      <c r="AH170" s="274"/>
      <c r="AI170" s="274"/>
      <c r="AJ170" s="274"/>
      <c r="AK170" s="274"/>
      <c r="AL170" s="274"/>
      <c r="AM170" t="s">
        <v>1563</v>
      </c>
      <c r="AN170" s="447"/>
      <c r="AO170" s="447" t="s">
        <v>1295</v>
      </c>
      <c r="AP170" s="501" t="s">
        <v>1295</v>
      </c>
      <c r="AX170" t="str">
        <f>AY170&amp;COUNTIF($AY$3:AY170,AY170)</f>
        <v>Redcar and Cleveland1</v>
      </c>
      <c r="AY170" s="512" t="s">
        <v>366</v>
      </c>
      <c r="AZ170" s="512" t="s">
        <v>537</v>
      </c>
      <c r="BA170" s="514">
        <v>3301.0309999999999</v>
      </c>
    </row>
    <row r="171" spans="1:53">
      <c r="A171" s="274"/>
      <c r="B171" s="274"/>
      <c r="C171" s="274"/>
      <c r="D171" s="274"/>
      <c r="E171" s="274"/>
      <c r="F171" s="274"/>
      <c r="G171" s="274"/>
      <c r="H171" s="274"/>
      <c r="I171" s="274"/>
      <c r="J171" s="274"/>
      <c r="K171" s="274"/>
      <c r="L171" s="274"/>
      <c r="M171" s="274"/>
      <c r="N171" s="274"/>
      <c r="O171" s="274"/>
      <c r="P171" s="275"/>
      <c r="Q171" s="275"/>
      <c r="R171" s="274"/>
      <c r="S171" s="274"/>
      <c r="T171" s="274"/>
      <c r="U171" s="274" t="s">
        <v>553</v>
      </c>
      <c r="V171" s="274" t="s">
        <v>554</v>
      </c>
      <c r="W171" s="276">
        <v>2884</v>
      </c>
      <c r="X171" s="274">
        <v>8845</v>
      </c>
      <c r="Y171" s="274"/>
      <c r="Z171" s="274"/>
      <c r="AA171" s="274"/>
      <c r="AB171" s="274"/>
      <c r="AC171" s="274"/>
      <c r="AD171" s="274"/>
      <c r="AE171" s="274"/>
      <c r="AF171" s="274"/>
      <c r="AG171" s="274"/>
      <c r="AH171" s="274"/>
      <c r="AI171" s="274"/>
      <c r="AJ171" s="274"/>
      <c r="AK171" s="274"/>
      <c r="AL171" s="274"/>
      <c r="AM171" t="s">
        <v>1563</v>
      </c>
      <c r="AN171" s="447"/>
      <c r="AO171" s="447" t="s">
        <v>1295</v>
      </c>
      <c r="AP171" s="501" t="s">
        <v>1295</v>
      </c>
      <c r="AX171" t="str">
        <f>AY171&amp;COUNTIF($AY$3:AY171,AY171)</f>
        <v>Richmond upon Thames1</v>
      </c>
      <c r="AY171" s="512" t="s">
        <v>369</v>
      </c>
      <c r="AZ171" s="512" t="s">
        <v>481</v>
      </c>
      <c r="BA171" s="514">
        <v>3028.8589999999999</v>
      </c>
    </row>
    <row r="172" spans="1:53">
      <c r="A172" s="274"/>
      <c r="B172" s="274"/>
      <c r="C172" s="274"/>
      <c r="D172" s="274"/>
      <c r="E172" s="274"/>
      <c r="F172" s="274"/>
      <c r="G172" s="274"/>
      <c r="H172" s="274"/>
      <c r="I172" s="274"/>
      <c r="J172" s="274"/>
      <c r="K172" s="274"/>
      <c r="L172" s="274"/>
      <c r="M172" s="274"/>
      <c r="N172" s="274"/>
      <c r="O172" s="274"/>
      <c r="P172" s="275"/>
      <c r="Q172" s="275"/>
      <c r="R172" s="274"/>
      <c r="S172" s="274"/>
      <c r="T172" s="274"/>
      <c r="U172" s="274" t="s">
        <v>555</v>
      </c>
      <c r="V172" s="274" t="s">
        <v>556</v>
      </c>
      <c r="W172" s="276">
        <v>7199</v>
      </c>
      <c r="X172" s="274">
        <v>20478</v>
      </c>
      <c r="Y172" s="274"/>
      <c r="Z172" s="274"/>
      <c r="AA172" s="274"/>
      <c r="AB172" s="274"/>
      <c r="AC172" s="274"/>
      <c r="AD172" s="274"/>
      <c r="AE172" s="274"/>
      <c r="AF172" s="274"/>
      <c r="AG172" s="274"/>
      <c r="AH172" s="274"/>
      <c r="AI172" s="274"/>
      <c r="AJ172" s="274"/>
      <c r="AK172" s="274"/>
      <c r="AL172" s="274"/>
      <c r="AM172" t="s">
        <v>1563</v>
      </c>
      <c r="AN172" s="447"/>
      <c r="AO172" s="447" t="s">
        <v>1295</v>
      </c>
      <c r="AP172" s="501" t="s">
        <v>1295</v>
      </c>
      <c r="AX172" t="str">
        <f>AY172&amp;COUNTIF($AY$3:AY172,AY172)</f>
        <v>Rochdale1</v>
      </c>
      <c r="AY172" s="512" t="s">
        <v>372</v>
      </c>
      <c r="AZ172" s="512" t="s">
        <v>1228</v>
      </c>
      <c r="BA172" s="514">
        <v>5079.9759999999997</v>
      </c>
    </row>
    <row r="173" spans="1:53">
      <c r="A173" s="274"/>
      <c r="B173" s="274"/>
      <c r="C173" s="274"/>
      <c r="D173" s="274"/>
      <c r="E173" s="274"/>
      <c r="F173" s="274"/>
      <c r="G173" s="274"/>
      <c r="H173" s="274"/>
      <c r="I173" s="274"/>
      <c r="J173" s="274"/>
      <c r="K173" s="274"/>
      <c r="L173" s="274"/>
      <c r="M173" s="274"/>
      <c r="N173" s="274"/>
      <c r="O173" s="274"/>
      <c r="P173" s="275"/>
      <c r="Q173" s="275"/>
      <c r="R173" s="274"/>
      <c r="S173" s="274"/>
      <c r="T173" s="274"/>
      <c r="U173" s="274" t="s">
        <v>557</v>
      </c>
      <c r="V173" s="274" t="s">
        <v>558</v>
      </c>
      <c r="W173" s="276">
        <v>4413</v>
      </c>
      <c r="X173" s="274">
        <v>14184</v>
      </c>
      <c r="Y173" s="274"/>
      <c r="Z173" s="274"/>
      <c r="AA173" s="274"/>
      <c r="AB173" s="274"/>
      <c r="AC173" s="274"/>
      <c r="AD173" s="274"/>
      <c r="AE173" s="274"/>
      <c r="AF173" s="274"/>
      <c r="AG173" s="274"/>
      <c r="AH173" s="274"/>
      <c r="AI173" s="274"/>
      <c r="AJ173" s="274"/>
      <c r="AK173" s="274"/>
      <c r="AL173" s="274"/>
      <c r="AM173" t="s">
        <v>1648</v>
      </c>
      <c r="AN173" s="120" t="s">
        <v>273</v>
      </c>
      <c r="AO173" s="120" t="s">
        <v>349</v>
      </c>
      <c r="AP173" s="502">
        <v>20105</v>
      </c>
      <c r="AX173" t="str">
        <f>AY173&amp;COUNTIF($AY$3:AY173,AY173)</f>
        <v>Rotherham1</v>
      </c>
      <c r="AY173" s="512" t="s">
        <v>375</v>
      </c>
      <c r="AZ173" s="512" t="s">
        <v>484</v>
      </c>
      <c r="BA173" s="514">
        <v>6165.8990000000003</v>
      </c>
    </row>
    <row r="174" spans="1:53">
      <c r="A174" s="274"/>
      <c r="B174" s="274"/>
      <c r="C174" s="274"/>
      <c r="D174" s="274"/>
      <c r="E174" s="274"/>
      <c r="F174" s="274"/>
      <c r="G174" s="274"/>
      <c r="H174" s="274"/>
      <c r="I174" s="274"/>
      <c r="J174" s="274"/>
      <c r="K174" s="274"/>
      <c r="L174" s="274"/>
      <c r="M174" s="274"/>
      <c r="N174" s="274"/>
      <c r="O174" s="274"/>
      <c r="P174" s="275"/>
      <c r="Q174" s="275"/>
      <c r="R174" s="274"/>
      <c r="S174" s="274"/>
      <c r="T174" s="274"/>
      <c r="U174" s="274" t="s">
        <v>559</v>
      </c>
      <c r="V174" s="274" t="s">
        <v>560</v>
      </c>
      <c r="W174" s="276">
        <v>2830</v>
      </c>
      <c r="X174" s="274">
        <v>8485</v>
      </c>
      <c r="Y174" s="274"/>
      <c r="Z174" s="274"/>
      <c r="AA174" s="274"/>
      <c r="AB174" s="274"/>
      <c r="AC174" s="274"/>
      <c r="AD174" s="274"/>
      <c r="AE174" s="274"/>
      <c r="AF174" s="274"/>
      <c r="AG174" s="274"/>
      <c r="AH174" s="274"/>
      <c r="AI174" s="274"/>
      <c r="AJ174" s="274"/>
      <c r="AK174" s="274"/>
      <c r="AL174" s="274"/>
      <c r="AM174" t="s">
        <v>1649</v>
      </c>
      <c r="AN174" s="120" t="s">
        <v>273</v>
      </c>
      <c r="AO174" s="120" t="s">
        <v>346</v>
      </c>
      <c r="AP174" s="502">
        <v>17351</v>
      </c>
      <c r="AX174" t="str">
        <f>AY174&amp;COUNTIF($AY$3:AY174,AY174)</f>
        <v>Rutland1</v>
      </c>
      <c r="AY174" s="512" t="s">
        <v>378</v>
      </c>
      <c r="AZ174" s="512" t="s">
        <v>206</v>
      </c>
      <c r="BA174" s="514">
        <v>622.05100000000004</v>
      </c>
    </row>
    <row r="175" spans="1:53">
      <c r="A175" s="274"/>
      <c r="B175" s="274"/>
      <c r="C175" s="274"/>
      <c r="D175" s="274"/>
      <c r="E175" s="274"/>
      <c r="F175" s="274"/>
      <c r="G175" s="274"/>
      <c r="H175" s="274"/>
      <c r="I175" s="274"/>
      <c r="J175" s="274"/>
      <c r="K175" s="274"/>
      <c r="L175" s="274"/>
      <c r="M175" s="274"/>
      <c r="N175" s="274"/>
      <c r="O175" s="274"/>
      <c r="P175" s="275"/>
      <c r="Q175" s="275"/>
      <c r="R175" s="274"/>
      <c r="S175" s="274"/>
      <c r="T175" s="274"/>
      <c r="U175" s="274" t="s">
        <v>561</v>
      </c>
      <c r="V175" s="274" t="s">
        <v>562</v>
      </c>
      <c r="W175" s="276">
        <v>5881</v>
      </c>
      <c r="X175" s="274">
        <v>18404</v>
      </c>
      <c r="Y175" s="274"/>
      <c r="Z175" s="274"/>
      <c r="AA175" s="274"/>
      <c r="AB175" s="274"/>
      <c r="AC175" s="274"/>
      <c r="AD175" s="274"/>
      <c r="AE175" s="274"/>
      <c r="AF175" s="274"/>
      <c r="AG175" s="274"/>
      <c r="AH175" s="274"/>
      <c r="AI175" s="274"/>
      <c r="AJ175" s="274"/>
      <c r="AK175" s="274"/>
      <c r="AL175" s="274"/>
      <c r="AM175" t="s">
        <v>1650</v>
      </c>
      <c r="AN175" s="120" t="s">
        <v>273</v>
      </c>
      <c r="AO175" s="120" t="s">
        <v>343</v>
      </c>
      <c r="AP175" s="502">
        <v>12665</v>
      </c>
      <c r="AX175" t="str">
        <f>AY175&amp;COUNTIF($AY$3:AY175,AY175)</f>
        <v>Salford1</v>
      </c>
      <c r="AY175" s="512" t="s">
        <v>381</v>
      </c>
      <c r="AZ175" s="512" t="s">
        <v>490</v>
      </c>
      <c r="BA175" s="514">
        <v>6039.3119999999999</v>
      </c>
    </row>
    <row r="176" spans="1:53">
      <c r="A176" s="274"/>
      <c r="B176" s="274"/>
      <c r="C176" s="274"/>
      <c r="D176" s="274"/>
      <c r="E176" s="274"/>
      <c r="F176" s="274"/>
      <c r="G176" s="274"/>
      <c r="H176" s="274"/>
      <c r="I176" s="274"/>
      <c r="J176" s="274"/>
      <c r="K176" s="274"/>
      <c r="L176" s="274"/>
      <c r="M176" s="274"/>
      <c r="N176" s="274"/>
      <c r="O176" s="274"/>
      <c r="P176" s="275"/>
      <c r="Q176" s="275"/>
      <c r="R176" s="274"/>
      <c r="S176" s="274"/>
      <c r="T176" s="274"/>
      <c r="U176" s="274" t="s">
        <v>563</v>
      </c>
      <c r="V176" s="274" t="s">
        <v>564</v>
      </c>
      <c r="W176" s="276">
        <v>6258</v>
      </c>
      <c r="X176" s="274">
        <v>18960</v>
      </c>
      <c r="Y176" s="274"/>
      <c r="Z176" s="274"/>
      <c r="AA176" s="274"/>
      <c r="AB176" s="274"/>
      <c r="AC176" s="274"/>
      <c r="AD176" s="274"/>
      <c r="AE176" s="274"/>
      <c r="AF176" s="274"/>
      <c r="AG176" s="274"/>
      <c r="AH176" s="274"/>
      <c r="AI176" s="274"/>
      <c r="AJ176" s="274"/>
      <c r="AK176" s="274"/>
      <c r="AL176" s="274"/>
      <c r="AM176" t="s">
        <v>1651</v>
      </c>
      <c r="AN176" s="447" t="s">
        <v>276</v>
      </c>
      <c r="AO176" s="447" t="s">
        <v>352</v>
      </c>
      <c r="AP176" s="501">
        <v>21384</v>
      </c>
      <c r="AX176" t="str">
        <f>AY176&amp;COUNTIF($AY$3:AY176,AY176)</f>
        <v>Sandwell1</v>
      </c>
      <c r="AY176" s="512" t="s">
        <v>384</v>
      </c>
      <c r="AZ176" s="512" t="s">
        <v>493</v>
      </c>
      <c r="BA176" s="514">
        <v>8469.67</v>
      </c>
    </row>
    <row r="177" spans="1:53">
      <c r="A177" s="274"/>
      <c r="B177" s="274"/>
      <c r="C177" s="274"/>
      <c r="D177" s="274"/>
      <c r="E177" s="274"/>
      <c r="F177" s="274"/>
      <c r="G177" s="274"/>
      <c r="H177" s="274"/>
      <c r="I177" s="274"/>
      <c r="J177" s="274"/>
      <c r="K177" s="274"/>
      <c r="L177" s="274"/>
      <c r="M177" s="274"/>
      <c r="N177" s="274"/>
      <c r="O177" s="274"/>
      <c r="P177" s="275"/>
      <c r="Q177" s="275"/>
      <c r="R177" s="274"/>
      <c r="S177" s="274"/>
      <c r="T177" s="274"/>
      <c r="U177" s="274" t="s">
        <v>565</v>
      </c>
      <c r="V177" s="274" t="s">
        <v>566</v>
      </c>
      <c r="W177" s="276">
        <v>7186</v>
      </c>
      <c r="X177" s="274">
        <v>22432</v>
      </c>
      <c r="Y177" s="274"/>
      <c r="Z177" s="274"/>
      <c r="AA177" s="274"/>
      <c r="AB177" s="274"/>
      <c r="AC177" s="274"/>
      <c r="AD177" s="274"/>
      <c r="AE177" s="274"/>
      <c r="AF177" s="274"/>
      <c r="AG177" s="274"/>
      <c r="AH177" s="274"/>
      <c r="AI177" s="274"/>
      <c r="AJ177" s="274"/>
      <c r="AK177" s="274"/>
      <c r="AL177" s="274"/>
      <c r="AM177" t="s">
        <v>1652</v>
      </c>
      <c r="AN177" s="120" t="s">
        <v>279</v>
      </c>
      <c r="AO177" s="120" t="s">
        <v>615</v>
      </c>
      <c r="AP177" s="502">
        <v>20073</v>
      </c>
      <c r="AX177" t="str">
        <f>AY177&amp;COUNTIF($AY$3:AY177,AY177)</f>
        <v>Sefton1</v>
      </c>
      <c r="AY177" s="513" t="s">
        <v>387</v>
      </c>
      <c r="AZ177" s="513" t="s">
        <v>535</v>
      </c>
      <c r="BA177" s="514">
        <v>4104.6842698412702</v>
      </c>
    </row>
    <row r="178" spans="1:53">
      <c r="A178" s="274"/>
      <c r="B178" s="274"/>
      <c r="C178" s="274"/>
      <c r="D178" s="274"/>
      <c r="E178" s="274"/>
      <c r="F178" s="274"/>
      <c r="G178" s="274"/>
      <c r="H178" s="274"/>
      <c r="I178" s="274"/>
      <c r="J178" s="274"/>
      <c r="K178" s="274"/>
      <c r="L178" s="274"/>
      <c r="M178" s="274"/>
      <c r="N178" s="274"/>
      <c r="O178" s="274"/>
      <c r="P178" s="275"/>
      <c r="Q178" s="275"/>
      <c r="R178" s="274"/>
      <c r="S178" s="274"/>
      <c r="T178" s="274"/>
      <c r="U178" s="274" t="s">
        <v>567</v>
      </c>
      <c r="V178" s="274" t="s">
        <v>568</v>
      </c>
      <c r="W178" s="276">
        <v>4467</v>
      </c>
      <c r="X178" s="274">
        <v>16398</v>
      </c>
      <c r="Y178" s="274"/>
      <c r="Z178" s="274"/>
      <c r="AA178" s="274"/>
      <c r="AB178" s="274"/>
      <c r="AC178" s="274"/>
      <c r="AD178" s="274"/>
      <c r="AE178" s="274"/>
      <c r="AF178" s="274"/>
      <c r="AG178" s="274"/>
      <c r="AH178" s="274"/>
      <c r="AI178" s="274"/>
      <c r="AJ178" s="274"/>
      <c r="AK178" s="274"/>
      <c r="AL178" s="274"/>
      <c r="AM178" t="s">
        <v>1653</v>
      </c>
      <c r="AN178" s="120" t="s">
        <v>279</v>
      </c>
      <c r="AO178" s="120" t="s">
        <v>206</v>
      </c>
      <c r="AP178" s="502">
        <v>15187</v>
      </c>
      <c r="AX178" t="str">
        <f>AY178&amp;COUNTIF($AY$3:AY178,AY178)</f>
        <v>Sefton2</v>
      </c>
      <c r="AY178" s="513" t="s">
        <v>387</v>
      </c>
      <c r="AZ178" s="513" t="s">
        <v>553</v>
      </c>
      <c r="BA178" s="514">
        <v>2884.3727301587301</v>
      </c>
    </row>
    <row r="179" spans="1:53">
      <c r="A179" s="274"/>
      <c r="B179" s="274"/>
      <c r="C179" s="274"/>
      <c r="D179" s="274"/>
      <c r="E179" s="274"/>
      <c r="F179" s="274"/>
      <c r="G179" s="274"/>
      <c r="H179" s="274"/>
      <c r="I179" s="274"/>
      <c r="J179" s="274"/>
      <c r="K179" s="274"/>
      <c r="L179" s="274"/>
      <c r="M179" s="274"/>
      <c r="N179" s="274"/>
      <c r="O179" s="274"/>
      <c r="P179" s="275"/>
      <c r="Q179" s="275"/>
      <c r="R179" s="274"/>
      <c r="S179" s="274"/>
      <c r="T179" s="274"/>
      <c r="U179" s="274" t="s">
        <v>569</v>
      </c>
      <c r="V179" s="274" t="s">
        <v>570</v>
      </c>
      <c r="W179" s="276">
        <v>1549</v>
      </c>
      <c r="X179" s="274">
        <v>5501</v>
      </c>
      <c r="Y179" s="274"/>
      <c r="Z179" s="274"/>
      <c r="AA179" s="274"/>
      <c r="AB179" s="274"/>
      <c r="AC179" s="274"/>
      <c r="AD179" s="274"/>
      <c r="AE179" s="274"/>
      <c r="AF179" s="274"/>
      <c r="AG179" s="274"/>
      <c r="AH179" s="274"/>
      <c r="AI179" s="274"/>
      <c r="AJ179" s="274"/>
      <c r="AK179" s="274"/>
      <c r="AL179" s="274"/>
      <c r="AM179" t="s">
        <v>1563</v>
      </c>
      <c r="AN179" s="120"/>
      <c r="AO179" s="120" t="s">
        <v>1295</v>
      </c>
      <c r="AP179" s="502" t="s">
        <v>1295</v>
      </c>
      <c r="AX179" t="str">
        <f>AY179&amp;COUNTIF($AY$3:AY179,AY179)</f>
        <v>Sheffield1</v>
      </c>
      <c r="AY179" s="512" t="s">
        <v>390</v>
      </c>
      <c r="AZ179" s="512" t="s">
        <v>499</v>
      </c>
      <c r="BA179" s="514">
        <v>12399.124</v>
      </c>
    </row>
    <row r="180" spans="1:53">
      <c r="A180" s="274"/>
      <c r="B180" s="274"/>
      <c r="C180" s="274"/>
      <c r="D180" s="274"/>
      <c r="E180" s="274"/>
      <c r="F180" s="274"/>
      <c r="G180" s="274"/>
      <c r="H180" s="274"/>
      <c r="I180" s="274"/>
      <c r="J180" s="274"/>
      <c r="K180" s="274"/>
      <c r="L180" s="274"/>
      <c r="M180" s="274"/>
      <c r="N180" s="274"/>
      <c r="O180" s="274"/>
      <c r="P180" s="275"/>
      <c r="Q180" s="275"/>
      <c r="R180" s="274"/>
      <c r="S180" s="274"/>
      <c r="T180" s="274"/>
      <c r="U180" s="274" t="s">
        <v>571</v>
      </c>
      <c r="V180" s="274" t="s">
        <v>572</v>
      </c>
      <c r="W180" s="276">
        <v>3379</v>
      </c>
      <c r="X180" s="274">
        <v>11096</v>
      </c>
      <c r="Y180" s="274"/>
      <c r="Z180" s="274"/>
      <c r="AA180" s="274"/>
      <c r="AB180" s="274"/>
      <c r="AC180" s="274"/>
      <c r="AD180" s="274"/>
      <c r="AE180" s="274"/>
      <c r="AF180" s="274"/>
      <c r="AG180" s="274"/>
      <c r="AH180" s="274"/>
      <c r="AI180" s="274"/>
      <c r="AJ180" s="274"/>
      <c r="AK180" s="274"/>
      <c r="AL180" s="274"/>
      <c r="AM180" t="s">
        <v>1563</v>
      </c>
      <c r="AN180" s="120"/>
      <c r="AO180" s="120" t="s">
        <v>1295</v>
      </c>
      <c r="AP180" s="502" t="s">
        <v>1295</v>
      </c>
      <c r="AX180" t="str">
        <f>AY180&amp;COUNTIF($AY$3:AY180,AY180)</f>
        <v>Shropshire1</v>
      </c>
      <c r="AY180" s="512" t="s">
        <v>393</v>
      </c>
      <c r="AZ180" s="512" t="s">
        <v>502</v>
      </c>
      <c r="BA180" s="514">
        <v>6388.357</v>
      </c>
    </row>
    <row r="181" spans="1:53">
      <c r="A181" s="274"/>
      <c r="B181" s="274"/>
      <c r="C181" s="274"/>
      <c r="D181" s="274"/>
      <c r="E181" s="274"/>
      <c r="F181" s="274"/>
      <c r="G181" s="274"/>
      <c r="H181" s="274"/>
      <c r="I181" s="274"/>
      <c r="J181" s="274"/>
      <c r="K181" s="274"/>
      <c r="L181" s="274"/>
      <c r="M181" s="274"/>
      <c r="N181" s="274"/>
      <c r="O181" s="274"/>
      <c r="P181" s="275"/>
      <c r="Q181" s="275"/>
      <c r="R181" s="274"/>
      <c r="S181" s="274"/>
      <c r="T181" s="274"/>
      <c r="U181" s="274" t="s">
        <v>573</v>
      </c>
      <c r="V181" s="274" t="s">
        <v>574</v>
      </c>
      <c r="W181" s="276">
        <v>2067</v>
      </c>
      <c r="X181" s="274">
        <v>6556</v>
      </c>
      <c r="Y181" s="274"/>
      <c r="Z181" s="274"/>
      <c r="AA181" s="274"/>
      <c r="AB181" s="274"/>
      <c r="AC181" s="274"/>
      <c r="AD181" s="274"/>
      <c r="AE181" s="274"/>
      <c r="AF181" s="274"/>
      <c r="AG181" s="274"/>
      <c r="AH181" s="274"/>
      <c r="AI181" s="274"/>
      <c r="AJ181" s="274"/>
      <c r="AK181" s="274"/>
      <c r="AL181" s="274"/>
      <c r="AM181" t="s">
        <v>1563</v>
      </c>
      <c r="AN181" s="120"/>
      <c r="AO181" s="120" t="s">
        <v>1295</v>
      </c>
      <c r="AP181" s="502" t="s">
        <v>1295</v>
      </c>
      <c r="AX181" t="str">
        <f>AY181&amp;COUNTIF($AY$3:AY181,AY181)</f>
        <v>Slough1</v>
      </c>
      <c r="AY181" s="512" t="s">
        <v>396</v>
      </c>
      <c r="AZ181" s="512" t="s">
        <v>505</v>
      </c>
      <c r="BA181" s="514">
        <v>2362.4929999999999</v>
      </c>
    </row>
    <row r="182" spans="1:53">
      <c r="A182" s="274"/>
      <c r="B182" s="274"/>
      <c r="C182" s="274"/>
      <c r="D182" s="274"/>
      <c r="E182" s="274"/>
      <c r="F182" s="274"/>
      <c r="G182" s="274"/>
      <c r="H182" s="274"/>
      <c r="I182" s="274"/>
      <c r="J182" s="274"/>
      <c r="K182" s="274"/>
      <c r="L182" s="274"/>
      <c r="M182" s="274"/>
      <c r="N182" s="274"/>
      <c r="O182" s="274"/>
      <c r="P182" s="275"/>
      <c r="Q182" s="275"/>
      <c r="R182" s="274"/>
      <c r="S182" s="274"/>
      <c r="T182" s="274"/>
      <c r="U182" s="274" t="s">
        <v>575</v>
      </c>
      <c r="V182" s="274" t="s">
        <v>576</v>
      </c>
      <c r="W182" s="276">
        <v>3629</v>
      </c>
      <c r="X182" s="274">
        <v>12105</v>
      </c>
      <c r="Y182" s="274"/>
      <c r="Z182" s="274"/>
      <c r="AA182" s="274"/>
      <c r="AB182" s="274"/>
      <c r="AC182" s="274"/>
      <c r="AD182" s="274"/>
      <c r="AE182" s="274"/>
      <c r="AF182" s="274"/>
      <c r="AG182" s="274"/>
      <c r="AH182" s="274"/>
      <c r="AI182" s="274"/>
      <c r="AJ182" s="274"/>
      <c r="AK182" s="274"/>
      <c r="AL182" s="274"/>
      <c r="AM182" t="s">
        <v>1563</v>
      </c>
      <c r="AN182" s="120"/>
      <c r="AO182" s="120" t="s">
        <v>1295</v>
      </c>
      <c r="AP182" s="502" t="s">
        <v>1295</v>
      </c>
      <c r="AX182" t="str">
        <f>AY182&amp;COUNTIF($AY$3:AY182,AY182)</f>
        <v>Solihull1</v>
      </c>
      <c r="AY182" s="512" t="s">
        <v>399</v>
      </c>
      <c r="AZ182" s="512" t="s">
        <v>508</v>
      </c>
      <c r="BA182" s="514">
        <v>3989.1320000000001</v>
      </c>
    </row>
    <row r="183" spans="1:53">
      <c r="A183" s="274"/>
      <c r="B183" s="274"/>
      <c r="C183" s="274"/>
      <c r="D183" s="274"/>
      <c r="E183" s="274"/>
      <c r="F183" s="274"/>
      <c r="G183" s="274"/>
      <c r="H183" s="274"/>
      <c r="I183" s="274"/>
      <c r="J183" s="274"/>
      <c r="K183" s="274"/>
      <c r="L183" s="274"/>
      <c r="M183" s="274"/>
      <c r="N183" s="274"/>
      <c r="O183" s="274"/>
      <c r="P183" s="275"/>
      <c r="Q183" s="275"/>
      <c r="R183" s="274"/>
      <c r="S183" s="274"/>
      <c r="T183" s="274"/>
      <c r="U183" s="274" t="s">
        <v>577</v>
      </c>
      <c r="V183" s="274" t="s">
        <v>578</v>
      </c>
      <c r="W183" s="276">
        <v>6000</v>
      </c>
      <c r="X183" s="274">
        <v>17318</v>
      </c>
      <c r="Y183" s="274"/>
      <c r="Z183" s="274"/>
      <c r="AA183" s="274"/>
      <c r="AB183" s="274"/>
      <c r="AC183" s="274"/>
      <c r="AD183" s="274"/>
      <c r="AE183" s="274"/>
      <c r="AF183" s="274"/>
      <c r="AG183" s="274"/>
      <c r="AH183" s="274"/>
      <c r="AI183" s="274"/>
      <c r="AJ183" s="274"/>
      <c r="AK183" s="274"/>
      <c r="AL183" s="274"/>
      <c r="AM183" t="s">
        <v>1563</v>
      </c>
      <c r="AN183" s="120"/>
      <c r="AO183" s="120" t="s">
        <v>1295</v>
      </c>
      <c r="AP183" s="502" t="s">
        <v>1295</v>
      </c>
      <c r="AX183" t="str">
        <f>AY183&amp;COUNTIF($AY$3:AY183,AY183)</f>
        <v>Somerset1</v>
      </c>
      <c r="AY183" s="512" t="s">
        <v>402</v>
      </c>
      <c r="AZ183" s="512" t="s">
        <v>511</v>
      </c>
      <c r="BA183" s="514">
        <v>11447.183000000001</v>
      </c>
    </row>
    <row r="184" spans="1:53">
      <c r="A184" s="274"/>
      <c r="B184" s="274"/>
      <c r="C184" s="274"/>
      <c r="D184" s="274"/>
      <c r="E184" s="274"/>
      <c r="F184" s="274"/>
      <c r="G184" s="274"/>
      <c r="H184" s="274"/>
      <c r="I184" s="274"/>
      <c r="J184" s="274"/>
      <c r="K184" s="274"/>
      <c r="L184" s="274"/>
      <c r="M184" s="274"/>
      <c r="N184" s="274"/>
      <c r="O184" s="274"/>
      <c r="P184" s="275"/>
      <c r="Q184" s="275"/>
      <c r="R184" s="274"/>
      <c r="S184" s="274"/>
      <c r="T184" s="274"/>
      <c r="U184" s="274" t="s">
        <v>579</v>
      </c>
      <c r="V184" s="274" t="s">
        <v>580</v>
      </c>
      <c r="W184" s="276">
        <v>3549</v>
      </c>
      <c r="X184" s="274">
        <v>10410</v>
      </c>
      <c r="Y184" s="274"/>
      <c r="Z184" s="274"/>
      <c r="AA184" s="274"/>
      <c r="AB184" s="274"/>
      <c r="AC184" s="274"/>
      <c r="AD184" s="274"/>
      <c r="AE184" s="274"/>
      <c r="AF184" s="274"/>
      <c r="AG184" s="274"/>
      <c r="AH184" s="274"/>
      <c r="AI184" s="274"/>
      <c r="AJ184" s="274"/>
      <c r="AK184" s="274"/>
      <c r="AL184" s="274"/>
      <c r="AM184" t="s">
        <v>1654</v>
      </c>
      <c r="AN184" s="447" t="s">
        <v>282</v>
      </c>
      <c r="AO184" s="447" t="s">
        <v>355</v>
      </c>
      <c r="AP184" s="501">
        <v>19740</v>
      </c>
      <c r="AX184" t="str">
        <f>AY184&amp;COUNTIF($AY$3:AY184,AY184)</f>
        <v>South Gloucestershire1</v>
      </c>
      <c r="AY184" s="512" t="s">
        <v>405</v>
      </c>
      <c r="AZ184" s="512" t="s">
        <v>523</v>
      </c>
      <c r="BA184" s="514">
        <v>4285.625</v>
      </c>
    </row>
    <row r="185" spans="1:53">
      <c r="A185" s="274"/>
      <c r="B185" s="274"/>
      <c r="C185" s="274"/>
      <c r="D185" s="274"/>
      <c r="E185" s="274"/>
      <c r="F185" s="274"/>
      <c r="G185" s="274"/>
      <c r="H185" s="274"/>
      <c r="I185" s="274"/>
      <c r="J185" s="274"/>
      <c r="K185" s="274"/>
      <c r="L185" s="274"/>
      <c r="M185" s="274"/>
      <c r="N185" s="274"/>
      <c r="O185" s="274"/>
      <c r="P185" s="275"/>
      <c r="Q185" s="275"/>
      <c r="R185" s="274"/>
      <c r="S185" s="274"/>
      <c r="T185" s="274"/>
      <c r="U185" s="274" t="s">
        <v>581</v>
      </c>
      <c r="V185" s="274" t="s">
        <v>582</v>
      </c>
      <c r="W185" s="276">
        <v>2631</v>
      </c>
      <c r="X185" s="274">
        <v>9699</v>
      </c>
      <c r="Y185" s="274"/>
      <c r="Z185" s="274"/>
      <c r="AA185" s="274"/>
      <c r="AB185" s="274"/>
      <c r="AC185" s="274"/>
      <c r="AD185" s="274"/>
      <c r="AE185" s="274"/>
      <c r="AF185" s="274"/>
      <c r="AG185" s="274"/>
      <c r="AH185" s="274"/>
      <c r="AI185" s="274"/>
      <c r="AJ185" s="274"/>
      <c r="AK185" s="274"/>
      <c r="AL185" s="274"/>
      <c r="AM185" t="s">
        <v>1655</v>
      </c>
      <c r="AN185" s="120" t="s">
        <v>285</v>
      </c>
      <c r="AO185" s="120" t="s">
        <v>1219</v>
      </c>
      <c r="AP185" s="502">
        <v>7905</v>
      </c>
      <c r="AX185" t="str">
        <f>AY185&amp;COUNTIF($AY$3:AY185,AY185)</f>
        <v>South Tyneside1</v>
      </c>
      <c r="AY185" s="512" t="s">
        <v>408</v>
      </c>
      <c r="AZ185" s="512" t="s">
        <v>539</v>
      </c>
      <c r="BA185" s="514">
        <v>4194.9440000000004</v>
      </c>
    </row>
    <row r="186" spans="1:53">
      <c r="A186" s="274"/>
      <c r="B186" s="274"/>
      <c r="C186" s="274"/>
      <c r="D186" s="274"/>
      <c r="E186" s="274"/>
      <c r="F186" s="274"/>
      <c r="G186" s="274"/>
      <c r="H186" s="274"/>
      <c r="I186" s="274"/>
      <c r="J186" s="274"/>
      <c r="K186" s="274"/>
      <c r="L186" s="274"/>
      <c r="M186" s="274"/>
      <c r="N186" s="274"/>
      <c r="O186" s="274"/>
      <c r="P186" s="275"/>
      <c r="Q186" s="275"/>
      <c r="R186" s="274"/>
      <c r="S186" s="274"/>
      <c r="T186" s="274"/>
      <c r="U186" s="274" t="s">
        <v>583</v>
      </c>
      <c r="V186" s="274" t="s">
        <v>584</v>
      </c>
      <c r="W186" s="276">
        <v>2998</v>
      </c>
      <c r="X186" s="274">
        <v>9720</v>
      </c>
      <c r="Y186" s="274"/>
      <c r="Z186" s="274"/>
      <c r="AA186" s="274"/>
      <c r="AB186" s="274"/>
      <c r="AC186" s="274"/>
      <c r="AD186" s="274"/>
      <c r="AE186" s="274"/>
      <c r="AF186" s="274"/>
      <c r="AG186" s="274"/>
      <c r="AH186" s="274"/>
      <c r="AI186" s="274"/>
      <c r="AJ186" s="274"/>
      <c r="AK186" s="274"/>
      <c r="AL186" s="274"/>
      <c r="AM186" t="s">
        <v>1656</v>
      </c>
      <c r="AN186" s="120" t="s">
        <v>285</v>
      </c>
      <c r="AO186" s="120" t="s">
        <v>527</v>
      </c>
      <c r="AP186" s="502">
        <v>9810</v>
      </c>
      <c r="AX186" t="str">
        <f>AY186&amp;COUNTIF($AY$3:AY186,AY186)</f>
        <v>Southampton1</v>
      </c>
      <c r="AY186" s="512" t="s">
        <v>411</v>
      </c>
      <c r="AZ186" s="512" t="s">
        <v>547</v>
      </c>
      <c r="BA186" s="514">
        <v>5084.6859999999997</v>
      </c>
    </row>
    <row r="187" spans="1:53">
      <c r="A187" s="274"/>
      <c r="B187" s="274"/>
      <c r="C187" s="274"/>
      <c r="D187" s="274"/>
      <c r="E187" s="274"/>
      <c r="F187" s="274"/>
      <c r="G187" s="274"/>
      <c r="H187" s="274"/>
      <c r="I187" s="274"/>
      <c r="J187" s="274"/>
      <c r="K187" s="274"/>
      <c r="L187" s="274"/>
      <c r="M187" s="274"/>
      <c r="N187" s="274"/>
      <c r="O187" s="274"/>
      <c r="P187" s="275"/>
      <c r="Q187" s="275"/>
      <c r="R187" s="274"/>
      <c r="S187" s="274"/>
      <c r="T187" s="274"/>
      <c r="U187" s="274" t="s">
        <v>585</v>
      </c>
      <c r="V187" s="274" t="s">
        <v>586</v>
      </c>
      <c r="W187" s="276">
        <v>6714</v>
      </c>
      <c r="X187" s="274">
        <v>18738</v>
      </c>
      <c r="Y187" s="274"/>
      <c r="Z187" s="274"/>
      <c r="AA187" s="274"/>
      <c r="AB187" s="274"/>
      <c r="AC187" s="274"/>
      <c r="AD187" s="274"/>
      <c r="AE187" s="274"/>
      <c r="AF187" s="274"/>
      <c r="AG187" s="274"/>
      <c r="AH187" s="274"/>
      <c r="AI187" s="274"/>
      <c r="AJ187" s="274"/>
      <c r="AK187" s="274"/>
      <c r="AL187" s="274"/>
      <c r="AM187" t="s">
        <v>1657</v>
      </c>
      <c r="AN187" s="120" t="s">
        <v>285</v>
      </c>
      <c r="AO187" s="120" t="s">
        <v>361</v>
      </c>
      <c r="AP187" s="502">
        <v>14497</v>
      </c>
      <c r="AX187" t="str">
        <f>AY187&amp;COUNTIF($AY$3:AY187,AY187)</f>
        <v>Southend-on-Sea1</v>
      </c>
      <c r="AY187" s="512" t="s">
        <v>414</v>
      </c>
      <c r="AZ187" s="512" t="s">
        <v>549</v>
      </c>
      <c r="BA187" s="514">
        <v>3776.6680000000001</v>
      </c>
    </row>
    <row r="188" spans="1:53">
      <c r="A188" s="274"/>
      <c r="B188" s="274"/>
      <c r="C188" s="274"/>
      <c r="D188" s="274"/>
      <c r="E188" s="274"/>
      <c r="F188" s="274"/>
      <c r="G188" s="274"/>
      <c r="H188" s="274"/>
      <c r="I188" s="274"/>
      <c r="J188" s="274"/>
      <c r="K188" s="274"/>
      <c r="L188" s="274"/>
      <c r="M188" s="274"/>
      <c r="N188" s="274"/>
      <c r="O188" s="274"/>
      <c r="P188" s="275"/>
      <c r="Q188" s="275"/>
      <c r="R188" s="274"/>
      <c r="S188" s="274"/>
      <c r="T188" s="274"/>
      <c r="U188" s="274" t="s">
        <v>587</v>
      </c>
      <c r="V188" s="274" t="s">
        <v>588</v>
      </c>
      <c r="W188" s="276">
        <v>4334</v>
      </c>
      <c r="X188" s="274">
        <v>14103</v>
      </c>
      <c r="Y188" s="274"/>
      <c r="Z188" s="274"/>
      <c r="AA188" s="274"/>
      <c r="AB188" s="274"/>
      <c r="AC188" s="274"/>
      <c r="AD188" s="274"/>
      <c r="AE188" s="274"/>
      <c r="AF188" s="274"/>
      <c r="AG188" s="274"/>
      <c r="AH188" s="274"/>
      <c r="AI188" s="274"/>
      <c r="AJ188" s="274"/>
      <c r="AK188" s="274"/>
      <c r="AL188" s="274"/>
      <c r="AM188" t="s">
        <v>1658</v>
      </c>
      <c r="AN188" s="120" t="s">
        <v>285</v>
      </c>
      <c r="AO188" s="120" t="s">
        <v>358</v>
      </c>
      <c r="AP188" s="502">
        <v>16187</v>
      </c>
      <c r="AX188" t="str">
        <f>AY188&amp;COUNTIF($AY$3:AY188,AY188)</f>
        <v>Southwark1</v>
      </c>
      <c r="AY188" s="512" t="s">
        <v>417</v>
      </c>
      <c r="AZ188" s="512" t="s">
        <v>555</v>
      </c>
      <c r="BA188" s="514">
        <v>7198.8010000000004</v>
      </c>
    </row>
    <row r="189" spans="1:53">
      <c r="A189" s="274"/>
      <c r="B189" s="274"/>
      <c r="C189" s="274"/>
      <c r="D189" s="274"/>
      <c r="E189" s="274"/>
      <c r="F189" s="274"/>
      <c r="G189" s="274"/>
      <c r="H189" s="274"/>
      <c r="I189" s="274"/>
      <c r="J189" s="274"/>
      <c r="K189" s="274"/>
      <c r="L189" s="274"/>
      <c r="M189" s="274"/>
      <c r="N189" s="274"/>
      <c r="O189" s="274"/>
      <c r="P189" s="275"/>
      <c r="Q189" s="275"/>
      <c r="R189" s="274"/>
      <c r="S189" s="274"/>
      <c r="T189" s="274"/>
      <c r="U189" s="274" t="s">
        <v>589</v>
      </c>
      <c r="V189" s="274" t="s">
        <v>590</v>
      </c>
      <c r="W189" s="276">
        <v>5938</v>
      </c>
      <c r="X189" s="274">
        <v>19366</v>
      </c>
      <c r="Y189" s="274"/>
      <c r="Z189" s="274"/>
      <c r="AA189" s="274"/>
      <c r="AB189" s="274"/>
      <c r="AC189" s="274"/>
      <c r="AD189" s="274"/>
      <c r="AE189" s="274"/>
      <c r="AF189" s="274"/>
      <c r="AG189" s="274"/>
      <c r="AH189" s="274"/>
      <c r="AI189" s="274"/>
      <c r="AJ189" s="274"/>
      <c r="AK189" s="274"/>
      <c r="AL189" s="274"/>
      <c r="AM189" t="s">
        <v>1563</v>
      </c>
      <c r="AN189" s="120"/>
      <c r="AO189" s="120" t="s">
        <v>1295</v>
      </c>
      <c r="AP189" s="502" t="s">
        <v>1295</v>
      </c>
      <c r="AX189" t="str">
        <f>AY189&amp;COUNTIF($AY$3:AY189,AY189)</f>
        <v>St. Helens1</v>
      </c>
      <c r="AY189" s="512" t="s">
        <v>420</v>
      </c>
      <c r="AZ189" s="512" t="s">
        <v>557</v>
      </c>
      <c r="BA189" s="514">
        <v>4413.0879999999997</v>
      </c>
    </row>
    <row r="190" spans="1:53">
      <c r="A190" s="274"/>
      <c r="B190" s="274"/>
      <c r="C190" s="274"/>
      <c r="D190" s="274"/>
      <c r="E190" s="274"/>
      <c r="F190" s="274"/>
      <c r="G190" s="274"/>
      <c r="H190" s="274"/>
      <c r="I190" s="274"/>
      <c r="J190" s="274"/>
      <c r="K190" s="274"/>
      <c r="L190" s="274"/>
      <c r="M190" s="274"/>
      <c r="N190" s="274"/>
      <c r="O190" s="274"/>
      <c r="P190" s="275"/>
      <c r="Q190" s="275"/>
      <c r="R190" s="274"/>
      <c r="S190" s="274"/>
      <c r="T190" s="274"/>
      <c r="U190" s="274" t="s">
        <v>591</v>
      </c>
      <c r="V190" s="274" t="s">
        <v>592</v>
      </c>
      <c r="W190" s="276">
        <v>2030</v>
      </c>
      <c r="X190" s="274">
        <v>6295</v>
      </c>
      <c r="Y190" s="274"/>
      <c r="Z190" s="274"/>
      <c r="AA190" s="274"/>
      <c r="AB190" s="274"/>
      <c r="AC190" s="274"/>
      <c r="AD190" s="274"/>
      <c r="AE190" s="274"/>
      <c r="AF190" s="274"/>
      <c r="AG190" s="274"/>
      <c r="AH190" s="274"/>
      <c r="AI190" s="274"/>
      <c r="AJ190" s="274"/>
      <c r="AK190" s="274"/>
      <c r="AL190" s="274"/>
      <c r="AM190" t="s">
        <v>1563</v>
      </c>
      <c r="AN190" s="120"/>
      <c r="AO190" s="120" t="s">
        <v>1295</v>
      </c>
      <c r="AP190" s="502" t="s">
        <v>1295</v>
      </c>
      <c r="AX190" t="str">
        <f>AY190&amp;COUNTIF($AY$3:AY190,AY190)</f>
        <v>Staffordshire1</v>
      </c>
      <c r="AY190" s="513" t="s">
        <v>423</v>
      </c>
      <c r="AZ190" s="513" t="s">
        <v>122</v>
      </c>
      <c r="BA190" s="514">
        <v>2521.189859848485</v>
      </c>
    </row>
    <row r="191" spans="1:53">
      <c r="A191" s="274"/>
      <c r="B191" s="274"/>
      <c r="C191" s="274"/>
      <c r="D191" s="274"/>
      <c r="E191" s="274"/>
      <c r="F191" s="274"/>
      <c r="G191" s="274"/>
      <c r="H191" s="274"/>
      <c r="I191" s="274"/>
      <c r="J191" s="274"/>
      <c r="K191" s="274"/>
      <c r="L191" s="274"/>
      <c r="M191" s="274"/>
      <c r="N191" s="274"/>
      <c r="O191" s="274"/>
      <c r="P191" s="275"/>
      <c r="Q191" s="275"/>
      <c r="R191" s="274"/>
      <c r="S191" s="274"/>
      <c r="T191" s="274"/>
      <c r="U191" s="274" t="s">
        <v>593</v>
      </c>
      <c r="V191" s="274" t="s">
        <v>594</v>
      </c>
      <c r="W191" s="276">
        <v>7557</v>
      </c>
      <c r="X191" s="274">
        <v>24275</v>
      </c>
      <c r="Y191" s="274"/>
      <c r="Z191" s="274"/>
      <c r="AA191" s="274"/>
      <c r="AB191" s="274"/>
      <c r="AC191" s="274"/>
      <c r="AD191" s="274"/>
      <c r="AE191" s="274"/>
      <c r="AF191" s="274"/>
      <c r="AG191" s="274"/>
      <c r="AH191" s="274"/>
      <c r="AI191" s="274"/>
      <c r="AJ191" s="274"/>
      <c r="AK191" s="274"/>
      <c r="AL191" s="274"/>
      <c r="AM191" t="s">
        <v>1563</v>
      </c>
      <c r="AN191" s="120"/>
      <c r="AO191" s="120" t="s">
        <v>1295</v>
      </c>
      <c r="AP191" s="502" t="s">
        <v>1295</v>
      </c>
      <c r="AX191" t="str">
        <f>AY191&amp;COUNTIF($AY$3:AY191,AY191)</f>
        <v>Staffordshire2</v>
      </c>
      <c r="AY191" s="513" t="s">
        <v>423</v>
      </c>
      <c r="AZ191" s="513" t="s">
        <v>213</v>
      </c>
      <c r="BA191" s="514">
        <v>2367.4587708333333</v>
      </c>
    </row>
    <row r="192" spans="1:53">
      <c r="A192" s="274"/>
      <c r="B192" s="274"/>
      <c r="C192" s="274"/>
      <c r="D192" s="274"/>
      <c r="E192" s="274"/>
      <c r="F192" s="274"/>
      <c r="G192" s="274"/>
      <c r="H192" s="274"/>
      <c r="I192" s="274"/>
      <c r="J192" s="274"/>
      <c r="K192" s="274"/>
      <c r="L192" s="274"/>
      <c r="M192" s="274"/>
      <c r="N192" s="274"/>
      <c r="O192" s="274"/>
      <c r="P192" s="275"/>
      <c r="Q192" s="275"/>
      <c r="R192" s="274"/>
      <c r="S192" s="274"/>
      <c r="T192" s="274"/>
      <c r="U192" s="274" t="s">
        <v>595</v>
      </c>
      <c r="V192" s="274" t="s">
        <v>596</v>
      </c>
      <c r="W192" s="276">
        <v>6563</v>
      </c>
      <c r="X192" s="274">
        <v>19342</v>
      </c>
      <c r="Y192" s="274"/>
      <c r="Z192" s="274"/>
      <c r="AA192" s="274"/>
      <c r="AB192" s="274"/>
      <c r="AC192" s="274"/>
      <c r="AD192" s="274"/>
      <c r="AE192" s="274"/>
      <c r="AF192" s="274"/>
      <c r="AG192" s="274"/>
      <c r="AH192" s="274"/>
      <c r="AI192" s="274"/>
      <c r="AJ192" s="274"/>
      <c r="AK192" s="274"/>
      <c r="AL192" s="274"/>
      <c r="AM192" t="s">
        <v>1659</v>
      </c>
      <c r="AN192" s="447" t="s">
        <v>288</v>
      </c>
      <c r="AO192" s="447" t="s">
        <v>364</v>
      </c>
      <c r="AP192" s="501">
        <v>39832</v>
      </c>
      <c r="AX192" t="str">
        <f>AY192&amp;COUNTIF($AY$3:AY192,AY192)</f>
        <v>Staffordshire3</v>
      </c>
      <c r="AY192" s="513" t="s">
        <v>423</v>
      </c>
      <c r="AZ192" s="513" t="s">
        <v>439</v>
      </c>
      <c r="BA192" s="514">
        <v>4119.9931856060612</v>
      </c>
    </row>
    <row r="193" spans="1:53">
      <c r="A193" s="274"/>
      <c r="B193" s="274"/>
      <c r="C193" s="274"/>
      <c r="D193" s="274"/>
      <c r="E193" s="274"/>
      <c r="F193" s="274"/>
      <c r="G193" s="274"/>
      <c r="H193" s="274"/>
      <c r="I193" s="274"/>
      <c r="J193" s="274"/>
      <c r="K193" s="274"/>
      <c r="L193" s="274"/>
      <c r="M193" s="274"/>
      <c r="N193" s="274"/>
      <c r="O193" s="274"/>
      <c r="P193" s="275"/>
      <c r="Q193" s="275"/>
      <c r="R193" s="274"/>
      <c r="S193" s="274"/>
      <c r="T193" s="274"/>
      <c r="U193" s="274" t="s">
        <v>597</v>
      </c>
      <c r="V193" s="274" t="s">
        <v>598</v>
      </c>
      <c r="W193" s="276">
        <v>4990</v>
      </c>
      <c r="X193" s="274">
        <v>16054</v>
      </c>
      <c r="Y193" s="274"/>
      <c r="Z193" s="274"/>
      <c r="AA193" s="274"/>
      <c r="AB193" s="274"/>
      <c r="AC193" s="274"/>
      <c r="AD193" s="274"/>
      <c r="AE193" s="274"/>
      <c r="AF193" s="274"/>
      <c r="AG193" s="274"/>
      <c r="AH193" s="274"/>
      <c r="AI193" s="274"/>
      <c r="AJ193" s="274"/>
      <c r="AK193" s="274"/>
      <c r="AL193" s="274"/>
      <c r="AM193" t="s">
        <v>1660</v>
      </c>
      <c r="AN193" s="120" t="s">
        <v>291</v>
      </c>
      <c r="AO193" s="120" t="s">
        <v>367</v>
      </c>
      <c r="AP193" s="502">
        <v>11998</v>
      </c>
      <c r="AX193" t="str">
        <f>AY193&amp;COUNTIF($AY$3:AY193,AY193)</f>
        <v>Staffordshire4</v>
      </c>
      <c r="AY193" s="513" t="s">
        <v>423</v>
      </c>
      <c r="AZ193" s="513" t="s">
        <v>1221</v>
      </c>
      <c r="BA193" s="514">
        <v>4242.9780568181823</v>
      </c>
    </row>
    <row r="194" spans="1:53">
      <c r="A194" s="274"/>
      <c r="B194" s="274"/>
      <c r="C194" s="274"/>
      <c r="D194" s="274"/>
      <c r="E194" s="274"/>
      <c r="F194" s="274"/>
      <c r="G194" s="274"/>
      <c r="H194" s="274"/>
      <c r="I194" s="274"/>
      <c r="J194" s="274"/>
      <c r="K194" s="274"/>
      <c r="L194" s="274"/>
      <c r="M194" s="274"/>
      <c r="N194" s="274"/>
      <c r="O194" s="274"/>
      <c r="P194" s="275"/>
      <c r="Q194" s="275"/>
      <c r="R194" s="274"/>
      <c r="S194" s="274"/>
      <c r="T194" s="274"/>
      <c r="U194" s="274" t="s">
        <v>599</v>
      </c>
      <c r="V194" s="274" t="s">
        <v>600</v>
      </c>
      <c r="W194" s="276">
        <v>5947</v>
      </c>
      <c r="X194" s="274">
        <v>20007</v>
      </c>
      <c r="Y194" s="274"/>
      <c r="Z194" s="274"/>
      <c r="AA194" s="274"/>
      <c r="AB194" s="274"/>
      <c r="AC194" s="274"/>
      <c r="AD194" s="274"/>
      <c r="AE194" s="274"/>
      <c r="AF194" s="274"/>
      <c r="AG194" s="274"/>
      <c r="AH194" s="274"/>
      <c r="AI194" s="274"/>
      <c r="AJ194" s="274"/>
      <c r="AK194" s="274"/>
      <c r="AL194" s="274"/>
      <c r="AM194" t="s">
        <v>1661</v>
      </c>
      <c r="AN194" s="447" t="s">
        <v>294</v>
      </c>
      <c r="AO194" s="447" t="s">
        <v>529</v>
      </c>
      <c r="AP194" s="501">
        <v>11638</v>
      </c>
      <c r="AX194" t="str">
        <f>AY194&amp;COUNTIF($AY$3:AY194,AY194)</f>
        <v>Staffordshire5</v>
      </c>
      <c r="AY194" s="513" t="s">
        <v>423</v>
      </c>
      <c r="AZ194" s="513" t="s">
        <v>559</v>
      </c>
      <c r="BA194" s="514">
        <v>2828.6520378787882</v>
      </c>
    </row>
    <row r="195" spans="1:53">
      <c r="A195" s="274"/>
      <c r="B195" s="274"/>
      <c r="C195" s="274"/>
      <c r="D195" s="274"/>
      <c r="E195" s="274"/>
      <c r="F195" s="274"/>
      <c r="G195" s="274"/>
      <c r="H195" s="274"/>
      <c r="I195" s="274"/>
      <c r="J195" s="274"/>
      <c r="K195" s="274"/>
      <c r="L195" s="274"/>
      <c r="M195" s="274"/>
      <c r="N195" s="274"/>
      <c r="O195" s="274"/>
      <c r="P195" s="275"/>
      <c r="Q195" s="275"/>
      <c r="R195" s="274"/>
      <c r="S195" s="274"/>
      <c r="T195" s="274"/>
      <c r="U195" s="274" t="s">
        <v>601</v>
      </c>
      <c r="V195" s="274" t="s">
        <v>602</v>
      </c>
      <c r="W195" s="276">
        <v>3775</v>
      </c>
      <c r="X195" s="274">
        <v>12638</v>
      </c>
      <c r="Y195" s="274"/>
      <c r="Z195" s="274"/>
      <c r="AA195" s="274"/>
      <c r="AB195" s="274"/>
      <c r="AC195" s="274"/>
      <c r="AD195" s="274"/>
      <c r="AE195" s="274"/>
      <c r="AF195" s="274"/>
      <c r="AG195" s="274"/>
      <c r="AH195" s="274"/>
      <c r="AI195" s="274"/>
      <c r="AJ195" s="274"/>
      <c r="AK195" s="274"/>
      <c r="AL195" s="274"/>
      <c r="AM195" t="s">
        <v>1662</v>
      </c>
      <c r="AN195" s="447" t="s">
        <v>294</v>
      </c>
      <c r="AO195" s="447" t="s">
        <v>430</v>
      </c>
      <c r="AP195" s="501">
        <v>13436</v>
      </c>
      <c r="AX195" t="str">
        <f>AY195&amp;COUNTIF($AY$3:AY195,AY195)</f>
        <v>Staffordshire6</v>
      </c>
      <c r="AY195" s="513" t="s">
        <v>423</v>
      </c>
      <c r="AZ195" s="513" t="s">
        <v>1321</v>
      </c>
      <c r="BA195" s="514">
        <v>153.73108901515153</v>
      </c>
    </row>
    <row r="196" spans="1:53">
      <c r="A196" s="274"/>
      <c r="B196" s="274"/>
      <c r="C196" s="274"/>
      <c r="D196" s="274"/>
      <c r="E196" s="274"/>
      <c r="F196" s="274"/>
      <c r="G196" s="274"/>
      <c r="H196" s="274"/>
      <c r="I196" s="274"/>
      <c r="J196" s="274"/>
      <c r="K196" s="274"/>
      <c r="L196" s="274"/>
      <c r="M196" s="274"/>
      <c r="N196" s="274"/>
      <c r="O196" s="274"/>
      <c r="P196" s="275"/>
      <c r="Q196" s="275"/>
      <c r="R196" s="274"/>
      <c r="S196" s="274"/>
      <c r="T196" s="274"/>
      <c r="U196" s="274" t="s">
        <v>603</v>
      </c>
      <c r="V196" s="274" t="s">
        <v>604</v>
      </c>
      <c r="W196" s="276">
        <v>3595</v>
      </c>
      <c r="X196" s="274">
        <v>11036</v>
      </c>
      <c r="Y196" s="274"/>
      <c r="Z196" s="274"/>
      <c r="AA196" s="274"/>
      <c r="AB196" s="274"/>
      <c r="AC196" s="274"/>
      <c r="AD196" s="274"/>
      <c r="AE196" s="274"/>
      <c r="AF196" s="274"/>
      <c r="AG196" s="274"/>
      <c r="AH196" s="274"/>
      <c r="AI196" s="274"/>
      <c r="AJ196" s="274"/>
      <c r="AK196" s="274"/>
      <c r="AL196" s="274"/>
      <c r="AM196" t="s">
        <v>1663</v>
      </c>
      <c r="AN196" s="447" t="s">
        <v>294</v>
      </c>
      <c r="AO196" s="447" t="s">
        <v>137</v>
      </c>
      <c r="AP196" s="501">
        <v>12564</v>
      </c>
      <c r="AX196" t="str">
        <f>AY196&amp;COUNTIF($AY$3:AY196,AY196)</f>
        <v>Stockport1</v>
      </c>
      <c r="AY196" s="512" t="s">
        <v>426</v>
      </c>
      <c r="AZ196" s="512" t="s">
        <v>561</v>
      </c>
      <c r="BA196" s="514">
        <v>5881.4040000000005</v>
      </c>
    </row>
    <row r="197" spans="1:53">
      <c r="A197" s="274"/>
      <c r="B197" s="274"/>
      <c r="C197" s="274"/>
      <c r="D197" s="274"/>
      <c r="E197" s="274"/>
      <c r="F197" s="274"/>
      <c r="G197" s="274"/>
      <c r="H197" s="274"/>
      <c r="I197" s="274"/>
      <c r="J197" s="274"/>
      <c r="K197" s="274"/>
      <c r="L197" s="274"/>
      <c r="M197" s="274"/>
      <c r="N197" s="274"/>
      <c r="O197" s="274"/>
      <c r="P197" s="275"/>
      <c r="Q197" s="275"/>
      <c r="R197" s="274"/>
      <c r="S197" s="274"/>
      <c r="T197" s="274"/>
      <c r="U197" s="274" t="s">
        <v>605</v>
      </c>
      <c r="V197" s="274" t="s">
        <v>606</v>
      </c>
      <c r="W197" s="276">
        <v>4695</v>
      </c>
      <c r="X197" s="274">
        <v>15812</v>
      </c>
      <c r="Y197" s="274"/>
      <c r="Z197" s="274"/>
      <c r="AA197" s="274"/>
      <c r="AB197" s="274"/>
      <c r="AC197" s="274"/>
      <c r="AD197" s="274"/>
      <c r="AE197" s="274"/>
      <c r="AF197" s="274"/>
      <c r="AG197" s="274"/>
      <c r="AH197" s="274"/>
      <c r="AI197" s="274"/>
      <c r="AJ197" s="274"/>
      <c r="AK197" s="274"/>
      <c r="AL197" s="274"/>
      <c r="AM197" t="s">
        <v>1664</v>
      </c>
      <c r="AN197" s="120" t="s">
        <v>297</v>
      </c>
      <c r="AO197" s="120" t="s">
        <v>373</v>
      </c>
      <c r="AP197" s="502">
        <v>16154</v>
      </c>
      <c r="AX197" t="str">
        <f>AY197&amp;COUNTIF($AY$3:AY197,AY197)</f>
        <v>Stockton-on-Tees1</v>
      </c>
      <c r="AY197" s="512" t="s">
        <v>429</v>
      </c>
      <c r="AZ197" s="512" t="s">
        <v>286</v>
      </c>
      <c r="BA197" s="514">
        <v>3874.01</v>
      </c>
    </row>
    <row r="198" spans="1:53">
      <c r="A198" s="274"/>
      <c r="B198" s="274"/>
      <c r="C198" s="274"/>
      <c r="D198" s="274"/>
      <c r="E198" s="274"/>
      <c r="F198" s="274"/>
      <c r="G198" s="274"/>
      <c r="H198" s="274"/>
      <c r="I198" s="274"/>
      <c r="J198" s="274"/>
      <c r="K198" s="274"/>
      <c r="L198" s="274"/>
      <c r="M198" s="274"/>
      <c r="N198" s="274"/>
      <c r="O198" s="274"/>
      <c r="P198" s="275"/>
      <c r="Q198" s="275"/>
      <c r="R198" s="274"/>
      <c r="S198" s="274"/>
      <c r="T198" s="274"/>
      <c r="U198" s="274" t="s">
        <v>607</v>
      </c>
      <c r="V198" s="274" t="s">
        <v>608</v>
      </c>
      <c r="W198" s="276">
        <v>5538</v>
      </c>
      <c r="X198" s="274">
        <v>17435</v>
      </c>
      <c r="Y198" s="274"/>
      <c r="Z198" s="274"/>
      <c r="AA198" s="274"/>
      <c r="AB198" s="274"/>
      <c r="AC198" s="274"/>
      <c r="AD198" s="274"/>
      <c r="AE198" s="274"/>
      <c r="AF198" s="274"/>
      <c r="AG198" s="274"/>
      <c r="AH198" s="274"/>
      <c r="AI198" s="274"/>
      <c r="AJ198" s="274"/>
      <c r="AK198" s="274"/>
      <c r="AL198" s="274"/>
      <c r="AM198" t="s">
        <v>1665</v>
      </c>
      <c r="AN198" s="447" t="s">
        <v>300</v>
      </c>
      <c r="AO198" s="447" t="s">
        <v>376</v>
      </c>
      <c r="AP198" s="501">
        <v>11254</v>
      </c>
      <c r="AX198" t="str">
        <f>AY198&amp;COUNTIF($AY$3:AY198,AY198)</f>
        <v>Stoke-on-Trent1</v>
      </c>
      <c r="AY198" s="512" t="s">
        <v>432</v>
      </c>
      <c r="AZ198" s="512" t="s">
        <v>1321</v>
      </c>
      <c r="BA198" s="514">
        <v>6104.5219999999999</v>
      </c>
    </row>
    <row r="199" spans="1:53">
      <c r="A199" s="274"/>
      <c r="B199" s="274"/>
      <c r="C199" s="274"/>
      <c r="D199" s="274"/>
      <c r="E199" s="274"/>
      <c r="F199" s="274"/>
      <c r="G199" s="274"/>
      <c r="H199" s="274"/>
      <c r="I199" s="274"/>
      <c r="J199" s="274"/>
      <c r="K199" s="274"/>
      <c r="L199" s="274"/>
      <c r="M199" s="274"/>
      <c r="N199" s="274"/>
      <c r="O199" s="274"/>
      <c r="P199" s="275"/>
      <c r="Q199" s="275"/>
      <c r="R199" s="274"/>
      <c r="S199" s="274"/>
      <c r="T199" s="274"/>
      <c r="U199" s="274" t="s">
        <v>609</v>
      </c>
      <c r="V199" s="274" t="s">
        <v>610</v>
      </c>
      <c r="W199" s="276">
        <v>8774</v>
      </c>
      <c r="X199" s="274">
        <v>29845</v>
      </c>
      <c r="Y199" s="274"/>
      <c r="Z199" s="274"/>
      <c r="AA199" s="274"/>
      <c r="AB199" s="274"/>
      <c r="AC199" s="274"/>
      <c r="AD199" s="274"/>
      <c r="AE199" s="274"/>
      <c r="AF199" s="274"/>
      <c r="AG199" s="274"/>
      <c r="AH199" s="274"/>
      <c r="AI199" s="274"/>
      <c r="AJ199" s="274"/>
      <c r="AK199" s="274"/>
      <c r="AL199" s="274"/>
      <c r="AM199" t="s">
        <v>1666</v>
      </c>
      <c r="AN199" s="120" t="s">
        <v>303</v>
      </c>
      <c r="AO199" s="120" t="s">
        <v>537</v>
      </c>
      <c r="AP199" s="502">
        <v>10428</v>
      </c>
      <c r="AX199" t="str">
        <f>AY199&amp;COUNTIF($AY$3:AY199,AY199)</f>
        <v>Suffolk1</v>
      </c>
      <c r="AY199" s="513" t="s">
        <v>435</v>
      </c>
      <c r="AZ199" s="513" t="s">
        <v>319</v>
      </c>
      <c r="BA199" s="514">
        <v>8067.217777777777</v>
      </c>
    </row>
    <row r="200" spans="1:53">
      <c r="A200" s="274"/>
      <c r="B200" s="274"/>
      <c r="C200" s="274"/>
      <c r="D200" s="274"/>
      <c r="E200" s="274"/>
      <c r="F200" s="274"/>
      <c r="G200" s="274"/>
      <c r="H200" s="274"/>
      <c r="I200" s="274"/>
      <c r="J200" s="274"/>
      <c r="K200" s="274"/>
      <c r="L200" s="274"/>
      <c r="M200" s="274"/>
      <c r="N200" s="274"/>
      <c r="O200" s="274"/>
      <c r="P200" s="275"/>
      <c r="Q200" s="275"/>
      <c r="R200" s="274"/>
      <c r="S200" s="274"/>
      <c r="T200" s="274"/>
      <c r="U200" s="274" t="s">
        <v>611</v>
      </c>
      <c r="V200" s="274" t="s">
        <v>612</v>
      </c>
      <c r="W200" s="276">
        <v>8708</v>
      </c>
      <c r="X200" s="274">
        <v>26394</v>
      </c>
      <c r="Y200" s="274"/>
      <c r="Z200" s="274"/>
      <c r="AA200" s="274"/>
      <c r="AB200" s="274"/>
      <c r="AC200" s="274"/>
      <c r="AD200" s="274"/>
      <c r="AE200" s="274"/>
      <c r="AF200" s="274"/>
      <c r="AG200" s="274"/>
      <c r="AH200" s="274"/>
      <c r="AI200" s="274"/>
      <c r="AJ200" s="274"/>
      <c r="AK200" s="274"/>
      <c r="AL200" s="274"/>
      <c r="AM200" t="s">
        <v>1667</v>
      </c>
      <c r="AN200" s="447" t="s">
        <v>306</v>
      </c>
      <c r="AO200" s="447" t="s">
        <v>382</v>
      </c>
      <c r="AP200" s="501">
        <v>13448</v>
      </c>
      <c r="AX200" t="str">
        <f>AY200&amp;COUNTIF($AY$3:AY200,AY200)</f>
        <v>Suffolk2</v>
      </c>
      <c r="AY200" s="513" t="s">
        <v>435</v>
      </c>
      <c r="AZ200" s="513" t="s">
        <v>1214</v>
      </c>
      <c r="BA200" s="514">
        <v>2474.3987301587299</v>
      </c>
    </row>
    <row r="201" spans="1:53">
      <c r="A201" s="274"/>
      <c r="B201" s="274"/>
      <c r="C201" s="274"/>
      <c r="D201" s="274"/>
      <c r="E201" s="274"/>
      <c r="F201" s="274"/>
      <c r="G201" s="274"/>
      <c r="H201" s="274"/>
      <c r="I201" s="274"/>
      <c r="J201" s="274"/>
      <c r="K201" s="274"/>
      <c r="L201" s="274"/>
      <c r="M201" s="274"/>
      <c r="N201" s="274"/>
      <c r="O201" s="274"/>
      <c r="P201" s="275"/>
      <c r="Q201" s="275"/>
      <c r="R201" s="274"/>
      <c r="S201" s="274"/>
      <c r="T201" s="274"/>
      <c r="U201" s="274" t="s">
        <v>613</v>
      </c>
      <c r="V201" s="274" t="s">
        <v>614</v>
      </c>
      <c r="W201" s="276">
        <v>2442</v>
      </c>
      <c r="X201" s="274">
        <v>7419</v>
      </c>
      <c r="Y201" s="274"/>
      <c r="Z201" s="274"/>
      <c r="AA201" s="274"/>
      <c r="AB201" s="274"/>
      <c r="AC201" s="274"/>
      <c r="AD201" s="274"/>
      <c r="AE201" s="274"/>
      <c r="AF201" s="274"/>
      <c r="AG201" s="274"/>
      <c r="AH201" s="274"/>
      <c r="AI201" s="274"/>
      <c r="AJ201" s="274"/>
      <c r="AK201" s="274"/>
      <c r="AL201" s="274"/>
      <c r="AM201" t="s">
        <v>1668</v>
      </c>
      <c r="AN201" s="120" t="s">
        <v>309</v>
      </c>
      <c r="AO201" s="120" t="s">
        <v>397</v>
      </c>
      <c r="AP201" s="502">
        <v>10236</v>
      </c>
      <c r="AX201" t="str">
        <f>AY201&amp;COUNTIF($AY$3:AY201,AY201)</f>
        <v>Suffolk3</v>
      </c>
      <c r="AY201" s="513" t="s">
        <v>435</v>
      </c>
      <c r="AZ201" s="513" t="s">
        <v>621</v>
      </c>
      <c r="BA201" s="514">
        <v>4406.4634920634917</v>
      </c>
    </row>
    <row r="202" spans="1:53">
      <c r="A202" s="274"/>
      <c r="B202" s="274"/>
      <c r="C202" s="274"/>
      <c r="D202" s="274"/>
      <c r="E202" s="274"/>
      <c r="F202" s="274"/>
      <c r="G202" s="274"/>
      <c r="H202" s="274"/>
      <c r="I202" s="274"/>
      <c r="J202" s="274"/>
      <c r="K202" s="274"/>
      <c r="L202" s="274"/>
      <c r="M202" s="274"/>
      <c r="N202" s="274"/>
      <c r="O202" s="274"/>
      <c r="P202" s="275"/>
      <c r="Q202" s="275"/>
      <c r="R202" s="274"/>
      <c r="S202" s="274"/>
      <c r="T202" s="274"/>
      <c r="U202" s="274" t="s">
        <v>615</v>
      </c>
      <c r="V202" s="274" t="s">
        <v>616</v>
      </c>
      <c r="W202" s="276">
        <v>6343</v>
      </c>
      <c r="X202" s="274">
        <v>20073</v>
      </c>
      <c r="Y202" s="274"/>
      <c r="Z202" s="274"/>
      <c r="AA202" s="274"/>
      <c r="AB202" s="274"/>
      <c r="AC202" s="274"/>
      <c r="AD202" s="274"/>
      <c r="AE202" s="274"/>
      <c r="AF202" s="274"/>
      <c r="AG202" s="274"/>
      <c r="AH202" s="274"/>
      <c r="AI202" s="274"/>
      <c r="AJ202" s="274"/>
      <c r="AK202" s="274"/>
      <c r="AL202" s="274"/>
      <c r="AM202" t="s">
        <v>1669</v>
      </c>
      <c r="AN202" s="120" t="s">
        <v>309</v>
      </c>
      <c r="AO202" s="120" t="s">
        <v>394</v>
      </c>
      <c r="AP202" s="502">
        <v>9691</v>
      </c>
      <c r="AX202" t="str">
        <f>AY202&amp;COUNTIF($AY$3:AY202,AY202)</f>
        <v>Sunderland1</v>
      </c>
      <c r="AY202" s="512" t="s">
        <v>438</v>
      </c>
      <c r="AZ202" s="512" t="s">
        <v>565</v>
      </c>
      <c r="BA202" s="514">
        <v>7185.6469999999999</v>
      </c>
    </row>
    <row r="203" spans="1:53">
      <c r="A203" s="274"/>
      <c r="B203" s="274"/>
      <c r="C203" s="274"/>
      <c r="D203" s="274"/>
      <c r="E203" s="274"/>
      <c r="F203" s="274"/>
      <c r="G203" s="274"/>
      <c r="H203" s="274"/>
      <c r="I203" s="274"/>
      <c r="J203" s="274"/>
      <c r="K203" s="274"/>
      <c r="L203" s="274"/>
      <c r="M203" s="274"/>
      <c r="N203" s="274"/>
      <c r="O203" s="274"/>
      <c r="P203" s="275"/>
      <c r="Q203" s="275"/>
      <c r="R203" s="274"/>
      <c r="S203" s="274"/>
      <c r="T203" s="274"/>
      <c r="U203" s="274" t="s">
        <v>617</v>
      </c>
      <c r="V203" s="274" t="s">
        <v>618</v>
      </c>
      <c r="W203" s="276">
        <v>5584</v>
      </c>
      <c r="X203" s="274">
        <v>17830</v>
      </c>
      <c r="Y203" s="274"/>
      <c r="Z203" s="274"/>
      <c r="AA203" s="274"/>
      <c r="AB203" s="274"/>
      <c r="AC203" s="274"/>
      <c r="AD203" s="274"/>
      <c r="AE203" s="274"/>
      <c r="AF203" s="274"/>
      <c r="AG203" s="274"/>
      <c r="AH203" s="274"/>
      <c r="AI203" s="274"/>
      <c r="AJ203" s="274"/>
      <c r="AK203" s="274"/>
      <c r="AL203" s="274"/>
      <c r="AM203" t="s">
        <v>1670</v>
      </c>
      <c r="AN203" s="447" t="s">
        <v>312</v>
      </c>
      <c r="AO203" s="447" t="s">
        <v>400</v>
      </c>
      <c r="AP203" s="501">
        <v>21040</v>
      </c>
      <c r="AX203" t="str">
        <f>AY203&amp;COUNTIF($AY$3:AY203,AY203)</f>
        <v>Surrey1</v>
      </c>
      <c r="AY203" s="513" t="s">
        <v>441</v>
      </c>
      <c r="AZ203" s="513" t="s">
        <v>216</v>
      </c>
      <c r="BA203" s="514">
        <v>2711.451579689704</v>
      </c>
    </row>
    <row r="204" spans="1:53">
      <c r="A204" s="274"/>
      <c r="B204" s="274"/>
      <c r="C204" s="274"/>
      <c r="D204" s="274"/>
      <c r="E204" s="274"/>
      <c r="F204" s="274"/>
      <c r="G204" s="274"/>
      <c r="H204" s="274"/>
      <c r="I204" s="274"/>
      <c r="J204" s="274"/>
      <c r="K204" s="274"/>
      <c r="L204" s="274"/>
      <c r="M204" s="274"/>
      <c r="N204" s="274"/>
      <c r="O204" s="274"/>
      <c r="P204" s="275"/>
      <c r="Q204" s="275"/>
      <c r="R204" s="274"/>
      <c r="S204" s="274"/>
      <c r="T204" s="274"/>
      <c r="U204" s="274" t="s">
        <v>619</v>
      </c>
      <c r="V204" s="274" t="s">
        <v>620</v>
      </c>
      <c r="W204" s="276">
        <v>3631</v>
      </c>
      <c r="X204" s="274">
        <v>11443</v>
      </c>
      <c r="Y204" s="274"/>
      <c r="Z204" s="274"/>
      <c r="AA204" s="274"/>
      <c r="AB204" s="274"/>
      <c r="AC204" s="274"/>
      <c r="AD204" s="274"/>
      <c r="AE204" s="274"/>
      <c r="AF204" s="274"/>
      <c r="AG204" s="274"/>
      <c r="AH204" s="274"/>
      <c r="AI204" s="274"/>
      <c r="AJ204" s="274"/>
      <c r="AK204" s="274"/>
      <c r="AL204" s="274"/>
      <c r="AM204" t="s">
        <v>1671</v>
      </c>
      <c r="AN204" s="120" t="s">
        <v>315</v>
      </c>
      <c r="AO204" s="120" t="s">
        <v>619</v>
      </c>
      <c r="AP204" s="502">
        <v>11443</v>
      </c>
      <c r="AX204" t="str">
        <f>AY204&amp;COUNTIF($AY$3:AY204,AY204)</f>
        <v>Surrey2</v>
      </c>
      <c r="AY204" s="513" t="s">
        <v>441</v>
      </c>
      <c r="AZ204" s="513" t="s">
        <v>262</v>
      </c>
      <c r="BA204" s="514">
        <v>3202.0951988716506</v>
      </c>
    </row>
    <row r="205" spans="1:53">
      <c r="A205" s="274"/>
      <c r="B205" s="274"/>
      <c r="C205" s="274"/>
      <c r="D205" s="274"/>
      <c r="E205" s="274"/>
      <c r="F205" s="274"/>
      <c r="G205" s="274"/>
      <c r="H205" s="274"/>
      <c r="I205" s="274"/>
      <c r="J205" s="274"/>
      <c r="K205" s="274"/>
      <c r="L205" s="274"/>
      <c r="M205" s="274"/>
      <c r="N205" s="274"/>
      <c r="O205" s="274"/>
      <c r="P205" s="275"/>
      <c r="Q205" s="275"/>
      <c r="R205" s="274"/>
      <c r="S205" s="274"/>
      <c r="T205" s="274"/>
      <c r="U205" s="274" t="s">
        <v>621</v>
      </c>
      <c r="V205" s="274" t="s">
        <v>622</v>
      </c>
      <c r="W205" s="276">
        <v>4406</v>
      </c>
      <c r="X205" s="274">
        <v>14222</v>
      </c>
      <c r="Y205" s="274"/>
      <c r="Z205" s="274"/>
      <c r="AA205" s="274"/>
      <c r="AB205" s="274"/>
      <c r="AC205" s="274"/>
      <c r="AD205" s="274"/>
      <c r="AE205" s="274"/>
      <c r="AF205" s="274"/>
      <c r="AG205" s="274"/>
      <c r="AH205" s="274"/>
      <c r="AI205" s="274"/>
      <c r="AJ205" s="274"/>
      <c r="AK205" s="274"/>
      <c r="AL205" s="274"/>
      <c r="AM205" t="s">
        <v>1672</v>
      </c>
      <c r="AN205" s="120" t="s">
        <v>315</v>
      </c>
      <c r="AO205" s="120" t="s">
        <v>531</v>
      </c>
      <c r="AP205" s="502">
        <v>14020</v>
      </c>
      <c r="AX205" t="str">
        <f>AY205&amp;COUNTIF($AY$3:AY205,AY205)</f>
        <v>Surrey3</v>
      </c>
      <c r="AY205" s="513" t="s">
        <v>441</v>
      </c>
      <c r="AZ205" s="513" t="s">
        <v>445</v>
      </c>
      <c r="BA205" s="514">
        <v>5474.5498561354016</v>
      </c>
    </row>
    <row r="206" spans="1:53">
      <c r="A206" s="274"/>
      <c r="B206" s="274"/>
      <c r="C206" s="274"/>
      <c r="D206" s="274"/>
      <c r="E206" s="274"/>
      <c r="F206" s="274"/>
      <c r="G206" s="274"/>
      <c r="H206" s="274"/>
      <c r="I206" s="274"/>
      <c r="J206" s="274"/>
      <c r="K206" s="274"/>
      <c r="L206" s="274"/>
      <c r="M206" s="274"/>
      <c r="N206" s="274"/>
      <c r="O206" s="274"/>
      <c r="P206" s="275"/>
      <c r="Q206" s="275"/>
      <c r="R206" s="274"/>
      <c r="S206" s="274"/>
      <c r="T206" s="274"/>
      <c r="U206" s="274" t="s">
        <v>623</v>
      </c>
      <c r="V206" s="274" t="s">
        <v>624</v>
      </c>
      <c r="W206" s="276">
        <v>7298</v>
      </c>
      <c r="X206" s="274">
        <v>22341</v>
      </c>
      <c r="Y206" s="274"/>
      <c r="Z206" s="274"/>
      <c r="AA206" s="274"/>
      <c r="AB206" s="274"/>
      <c r="AC206" s="274"/>
      <c r="AD206" s="274"/>
      <c r="AE206" s="274"/>
      <c r="AF206" s="274"/>
      <c r="AG206" s="274"/>
      <c r="AH206" s="274"/>
      <c r="AI206" s="274"/>
      <c r="AJ206" s="274"/>
      <c r="AK206" s="274"/>
      <c r="AL206" s="274"/>
      <c r="AM206" t="s">
        <v>1673</v>
      </c>
      <c r="AN206" s="120" t="s">
        <v>315</v>
      </c>
      <c r="AO206" s="120" t="s">
        <v>454</v>
      </c>
      <c r="AP206" s="502">
        <v>12245</v>
      </c>
      <c r="AX206" t="str">
        <f>AY206&amp;COUNTIF($AY$3:AY206,AY206)</f>
        <v>Surrey4</v>
      </c>
      <c r="AY206" s="513" t="s">
        <v>441</v>
      </c>
      <c r="AZ206" s="513" t="s">
        <v>569</v>
      </c>
      <c r="BA206" s="514">
        <v>1549.4009026798308</v>
      </c>
    </row>
    <row r="207" spans="1:53">
      <c r="A207" s="274"/>
      <c r="B207" s="274"/>
      <c r="C207" s="274"/>
      <c r="D207" s="274"/>
      <c r="E207" s="274"/>
      <c r="F207" s="274"/>
      <c r="G207" s="274"/>
      <c r="H207" s="274"/>
      <c r="I207" s="274"/>
      <c r="J207" s="274"/>
      <c r="K207" s="274"/>
      <c r="L207" s="274"/>
      <c r="M207" s="274"/>
      <c r="N207" s="274"/>
      <c r="O207" s="274"/>
      <c r="P207" s="275"/>
      <c r="Q207" s="275"/>
      <c r="R207" s="274"/>
      <c r="S207" s="274"/>
      <c r="T207" s="274"/>
      <c r="U207" s="274" t="s">
        <v>625</v>
      </c>
      <c r="V207" s="274" t="s">
        <v>626</v>
      </c>
      <c r="W207" s="276">
        <v>8356</v>
      </c>
      <c r="X207" s="274">
        <v>27073</v>
      </c>
      <c r="Y207" s="274"/>
      <c r="Z207" s="274"/>
      <c r="AA207" s="274"/>
      <c r="AB207" s="274"/>
      <c r="AC207" s="274"/>
      <c r="AD207" s="274"/>
      <c r="AE207" s="274"/>
      <c r="AF207" s="274"/>
      <c r="AG207" s="274"/>
      <c r="AH207" s="274"/>
      <c r="AI207" s="274"/>
      <c r="AJ207" s="274"/>
      <c r="AK207" s="274"/>
      <c r="AL207" s="274"/>
      <c r="AM207" t="s">
        <v>1674</v>
      </c>
      <c r="AN207" s="120" t="s">
        <v>315</v>
      </c>
      <c r="AO207" s="120" t="s">
        <v>433</v>
      </c>
      <c r="AP207" s="502">
        <v>11553</v>
      </c>
      <c r="AX207" t="str">
        <f>AY207&amp;COUNTIF($AY$3:AY207,AY207)</f>
        <v>Surrey5</v>
      </c>
      <c r="AY207" s="513" t="s">
        <v>441</v>
      </c>
      <c r="AZ207" s="513" t="s">
        <v>627</v>
      </c>
      <c r="BA207" s="514">
        <v>154.94009026798309</v>
      </c>
    </row>
    <row r="208" spans="1:53">
      <c r="A208" s="274"/>
      <c r="B208" s="274"/>
      <c r="C208" s="274"/>
      <c r="D208" s="274"/>
      <c r="E208" s="274"/>
      <c r="F208" s="274"/>
      <c r="G208" s="274"/>
      <c r="H208" s="274"/>
      <c r="I208" s="274"/>
      <c r="J208" s="274"/>
      <c r="K208" s="274"/>
      <c r="L208" s="274"/>
      <c r="M208" s="274"/>
      <c r="N208" s="274"/>
      <c r="O208" s="274"/>
      <c r="P208" s="275"/>
      <c r="Q208" s="275"/>
      <c r="R208" s="274"/>
      <c r="S208" s="274"/>
      <c r="T208" s="274"/>
      <c r="U208" s="274" t="s">
        <v>627</v>
      </c>
      <c r="V208" s="274" t="s">
        <v>628</v>
      </c>
      <c r="W208" s="276">
        <v>2093</v>
      </c>
      <c r="X208" s="274">
        <v>7542</v>
      </c>
      <c r="Y208" s="274"/>
      <c r="Z208" s="274"/>
      <c r="AA208" s="274"/>
      <c r="AB208" s="274"/>
      <c r="AC208" s="274"/>
      <c r="AD208" s="274"/>
      <c r="AE208" s="274"/>
      <c r="AF208" s="274"/>
      <c r="AG208" s="274"/>
      <c r="AH208" s="274"/>
      <c r="AI208" s="274"/>
      <c r="AJ208" s="274"/>
      <c r="AK208" s="274"/>
      <c r="AL208" s="274"/>
      <c r="AM208" t="s">
        <v>1675</v>
      </c>
      <c r="AN208" s="120" t="s">
        <v>315</v>
      </c>
      <c r="AO208" s="120" t="s">
        <v>1214</v>
      </c>
      <c r="AP208" s="502">
        <v>7120</v>
      </c>
      <c r="AX208" t="str">
        <f>AY208&amp;COUNTIF($AY$3:AY208,AY208)</f>
        <v>Surrey6</v>
      </c>
      <c r="AY208" s="513" t="s">
        <v>441</v>
      </c>
      <c r="AZ208" s="513" t="s">
        <v>567</v>
      </c>
      <c r="BA208" s="514">
        <v>4467.4392693935124</v>
      </c>
    </row>
    <row r="209" spans="1:53">
      <c r="A209" s="274"/>
      <c r="B209" s="274"/>
      <c r="C209" s="274"/>
      <c r="D209" s="274"/>
      <c r="E209" s="274"/>
      <c r="F209" s="274"/>
      <c r="G209" s="274"/>
      <c r="H209" s="274"/>
      <c r="I209" s="274"/>
      <c r="J209" s="274"/>
      <c r="K209" s="274"/>
      <c r="L209" s="274"/>
      <c r="M209" s="274"/>
      <c r="N209" s="274"/>
      <c r="O209" s="274"/>
      <c r="P209" s="275"/>
      <c r="Q209" s="275"/>
      <c r="R209" s="274"/>
      <c r="S209" s="274"/>
      <c r="T209" s="274"/>
      <c r="U209" s="274" t="s">
        <v>629</v>
      </c>
      <c r="V209" s="274" t="s">
        <v>630</v>
      </c>
      <c r="W209" s="276">
        <v>8252</v>
      </c>
      <c r="X209" s="274">
        <v>24933</v>
      </c>
      <c r="Y209" s="274"/>
      <c r="Z209" s="274"/>
      <c r="AA209" s="274"/>
      <c r="AB209" s="274"/>
      <c r="AC209" s="274"/>
      <c r="AD209" s="274"/>
      <c r="AE209" s="274"/>
      <c r="AF209" s="274"/>
      <c r="AG209" s="274"/>
      <c r="AH209" s="274"/>
      <c r="AI209" s="274"/>
      <c r="AJ209" s="274"/>
      <c r="AK209" s="274"/>
      <c r="AL209" s="274"/>
      <c r="AM209" t="s">
        <v>1563</v>
      </c>
      <c r="AN209" s="120"/>
      <c r="AO209" s="120" t="s">
        <v>1295</v>
      </c>
      <c r="AP209" s="502" t="s">
        <v>1295</v>
      </c>
      <c r="AX209" t="str">
        <f>AY209&amp;COUNTIF($AY$3:AY209,AY209)</f>
        <v>Surrey7</v>
      </c>
      <c r="AY209" s="513" t="s">
        <v>441</v>
      </c>
      <c r="AZ209" s="513" t="s">
        <v>415</v>
      </c>
      <c r="BA209" s="514">
        <v>748.87710296191824</v>
      </c>
    </row>
    <row r="210" spans="1:53">
      <c r="A210" s="274"/>
      <c r="B210" s="274"/>
      <c r="C210" s="274"/>
      <c r="D210" s="274"/>
      <c r="E210" s="274"/>
      <c r="F210" s="274"/>
      <c r="G210" s="274"/>
      <c r="H210" s="274"/>
      <c r="I210" s="274"/>
      <c r="J210" s="274"/>
      <c r="K210" s="274"/>
      <c r="L210" s="274"/>
      <c r="M210" s="274"/>
      <c r="N210" s="274"/>
      <c r="O210" s="274"/>
      <c r="P210" s="275"/>
      <c r="Q210" s="275"/>
      <c r="R210" s="274"/>
      <c r="S210" s="274"/>
      <c r="T210" s="274"/>
      <c r="U210" s="274" t="s">
        <v>631</v>
      </c>
      <c r="V210" s="274" t="s">
        <v>632</v>
      </c>
      <c r="W210" s="276">
        <v>1842</v>
      </c>
      <c r="X210" s="274">
        <v>7431</v>
      </c>
      <c r="Y210" s="274"/>
      <c r="Z210" s="274"/>
      <c r="AA210" s="274"/>
      <c r="AB210" s="274"/>
      <c r="AC210" s="274"/>
      <c r="AD210" s="274"/>
      <c r="AE210" s="274"/>
      <c r="AF210" s="274"/>
      <c r="AG210" s="274"/>
      <c r="AH210" s="274"/>
      <c r="AI210" s="274"/>
      <c r="AJ210" s="274"/>
      <c r="AK210" s="274"/>
      <c r="AL210" s="274"/>
      <c r="AM210" t="s">
        <v>1563</v>
      </c>
      <c r="AN210" s="120"/>
      <c r="AO210" s="120" t="s">
        <v>1295</v>
      </c>
      <c r="AP210" s="502" t="s">
        <v>1295</v>
      </c>
      <c r="AX210" t="str">
        <f>AY210&amp;COUNTIF($AY$3:AY210,AY210)</f>
        <v>Sutton1</v>
      </c>
      <c r="AY210" s="512" t="s">
        <v>444</v>
      </c>
      <c r="AZ210" s="512" t="s">
        <v>571</v>
      </c>
      <c r="BA210" s="514">
        <v>3379.2109999999998</v>
      </c>
    </row>
    <row r="211" spans="1:53">
      <c r="A211" s="274"/>
      <c r="B211" s="274"/>
      <c r="C211" s="274"/>
      <c r="D211" s="274"/>
      <c r="E211" s="274"/>
      <c r="F211" s="274"/>
      <c r="G211" s="274"/>
      <c r="H211" s="274"/>
      <c r="I211" s="274"/>
      <c r="J211" s="274"/>
      <c r="K211" s="274"/>
      <c r="L211" s="274"/>
      <c r="M211" s="274"/>
      <c r="N211" s="274"/>
      <c r="O211" s="274"/>
      <c r="P211" s="275"/>
      <c r="Q211" s="275"/>
      <c r="R211" s="274"/>
      <c r="S211" s="274"/>
      <c r="T211" s="274"/>
      <c r="U211" s="274" t="s">
        <v>633</v>
      </c>
      <c r="V211" s="274" t="s">
        <v>634</v>
      </c>
      <c r="W211" s="276">
        <v>6309</v>
      </c>
      <c r="X211" s="274">
        <v>17939</v>
      </c>
      <c r="Y211" s="274"/>
      <c r="Z211" s="274"/>
      <c r="AA211" s="274"/>
      <c r="AB211" s="274"/>
      <c r="AC211" s="274"/>
      <c r="AD211" s="274"/>
      <c r="AE211" s="274"/>
      <c r="AF211" s="274"/>
      <c r="AG211" s="274"/>
      <c r="AH211" s="274"/>
      <c r="AI211" s="274"/>
      <c r="AJ211" s="274"/>
      <c r="AK211" s="274"/>
      <c r="AL211" s="274"/>
      <c r="AM211" t="s">
        <v>1676</v>
      </c>
      <c r="AN211" s="447" t="s">
        <v>318</v>
      </c>
      <c r="AO211" s="447" t="s">
        <v>418</v>
      </c>
      <c r="AP211" s="501">
        <v>11246</v>
      </c>
      <c r="AX211" t="str">
        <f>AY211&amp;COUNTIF($AY$3:AY211,AY211)</f>
        <v>Swindon1</v>
      </c>
      <c r="AY211" s="512" t="s">
        <v>447</v>
      </c>
      <c r="AZ211" s="512" t="s">
        <v>575</v>
      </c>
      <c r="BA211" s="514">
        <v>3525.7539999999999</v>
      </c>
    </row>
    <row r="212" spans="1:53">
      <c r="A212" s="274"/>
      <c r="B212" s="274"/>
      <c r="C212" s="274"/>
      <c r="D212" s="274"/>
      <c r="E212" s="274"/>
      <c r="F212" s="274"/>
      <c r="G212" s="274"/>
      <c r="H212" s="274"/>
      <c r="I212" s="274"/>
      <c r="J212" s="274"/>
      <c r="K212" s="274"/>
      <c r="L212" s="274"/>
      <c r="M212" s="274"/>
      <c r="N212" s="274"/>
      <c r="O212" s="274"/>
      <c r="P212" s="275"/>
      <c r="Q212" s="275"/>
      <c r="R212" s="274"/>
      <c r="S212" s="274"/>
      <c r="T212" s="274"/>
      <c r="U212" s="274" t="s">
        <v>635</v>
      </c>
      <c r="V212" s="274" t="s">
        <v>636</v>
      </c>
      <c r="W212" s="276">
        <v>1953</v>
      </c>
      <c r="X212" s="274">
        <v>6572</v>
      </c>
      <c r="Y212" s="274"/>
      <c r="Z212" s="274"/>
      <c r="AA212" s="274"/>
      <c r="AB212" s="274"/>
      <c r="AC212" s="274"/>
      <c r="AD212" s="274"/>
      <c r="AE212" s="274"/>
      <c r="AF212" s="274"/>
      <c r="AG212" s="274"/>
      <c r="AH212" s="274"/>
      <c r="AI212" s="274"/>
      <c r="AJ212" s="274"/>
      <c r="AK212" s="274"/>
      <c r="AL212" s="274"/>
      <c r="AM212" t="s">
        <v>1677</v>
      </c>
      <c r="AN212" s="120" t="s">
        <v>321</v>
      </c>
      <c r="AO212" s="120" t="s">
        <v>427</v>
      </c>
      <c r="AP212" s="502">
        <v>11006</v>
      </c>
      <c r="AX212" t="str">
        <f>AY212&amp;COUNTIF($AY$3:AY212,AY212)</f>
        <v>Tameside1</v>
      </c>
      <c r="AY212" s="512" t="s">
        <v>450</v>
      </c>
      <c r="AZ212" s="512" t="s">
        <v>577</v>
      </c>
      <c r="BA212" s="514">
        <v>5289.3320000000003</v>
      </c>
    </row>
    <row r="213" spans="1:53">
      <c r="AM213" t="s">
        <v>1678</v>
      </c>
      <c r="AN213" s="447" t="s">
        <v>324</v>
      </c>
      <c r="AO213" s="447" t="s">
        <v>436</v>
      </c>
      <c r="AP213" s="501">
        <v>13223</v>
      </c>
      <c r="AX213" t="str">
        <f>AY213&amp;COUNTIF($AY$3:AY213,AY213)</f>
        <v>Telford and Wrekin1</v>
      </c>
      <c r="AY213" s="512" t="s">
        <v>453</v>
      </c>
      <c r="AZ213" s="512" t="s">
        <v>1222</v>
      </c>
      <c r="BA213" s="514">
        <v>3548.8319999999999</v>
      </c>
    </row>
    <row r="214" spans="1:53">
      <c r="AM214" t="s">
        <v>1679</v>
      </c>
      <c r="AN214" s="120" t="s">
        <v>327</v>
      </c>
      <c r="AO214" s="120" t="s">
        <v>442</v>
      </c>
      <c r="AP214" s="502">
        <v>15233</v>
      </c>
      <c r="AX214" t="str">
        <f>AY214&amp;COUNTIF($AY$3:AY214,AY214)</f>
        <v>Thurrock1</v>
      </c>
      <c r="AY214" s="512" t="s">
        <v>456</v>
      </c>
      <c r="AZ214" s="512" t="s">
        <v>583</v>
      </c>
      <c r="BA214" s="514">
        <v>2998.4360000000001</v>
      </c>
    </row>
    <row r="215" spans="1:53">
      <c r="AM215" t="s">
        <v>1680</v>
      </c>
      <c r="AN215" s="447" t="s">
        <v>330</v>
      </c>
      <c r="AO215" s="447" t="s">
        <v>589</v>
      </c>
      <c r="AP215" s="501">
        <v>6932</v>
      </c>
      <c r="AX215" t="str">
        <f>AY215&amp;COUNTIF($AY$3:AY215,AY215)</f>
        <v>Torbay1</v>
      </c>
      <c r="AY215" s="512" t="s">
        <v>459</v>
      </c>
      <c r="AZ215" s="512" t="s">
        <v>517</v>
      </c>
      <c r="BA215" s="514">
        <v>3797.6570000000002</v>
      </c>
    </row>
    <row r="216" spans="1:53">
      <c r="AM216" t="s">
        <v>1681</v>
      </c>
      <c r="AN216" s="447" t="s">
        <v>330</v>
      </c>
      <c r="AO216" s="447" t="s">
        <v>496</v>
      </c>
      <c r="AP216" s="501">
        <v>7538</v>
      </c>
      <c r="AX216" t="str">
        <f>AY216&amp;COUNTIF($AY$3:AY216,AY216)</f>
        <v>Tower Hamlets1</v>
      </c>
      <c r="AY216" s="512" t="s">
        <v>462</v>
      </c>
      <c r="AZ216" s="512" t="s">
        <v>585</v>
      </c>
      <c r="BA216" s="514">
        <v>6714.4210000000003</v>
      </c>
    </row>
    <row r="217" spans="1:53">
      <c r="AM217" t="s">
        <v>1682</v>
      </c>
      <c r="AN217" s="447" t="s">
        <v>330</v>
      </c>
      <c r="AO217" s="447" t="s">
        <v>280</v>
      </c>
      <c r="AP217" s="501">
        <v>9557</v>
      </c>
      <c r="AX217" t="str">
        <f>AY217&amp;COUNTIF($AY$3:AY217,AY217)</f>
        <v>Trafford1</v>
      </c>
      <c r="AY217" s="512" t="s">
        <v>465</v>
      </c>
      <c r="AZ217" s="512" t="s">
        <v>587</v>
      </c>
      <c r="BA217" s="514">
        <v>4334.4799999999996</v>
      </c>
    </row>
    <row r="218" spans="1:53">
      <c r="AM218" t="s">
        <v>1683</v>
      </c>
      <c r="AN218" s="447" t="s">
        <v>330</v>
      </c>
      <c r="AO218" s="447" t="s">
        <v>268</v>
      </c>
      <c r="AP218" s="501">
        <v>9152</v>
      </c>
      <c r="AX218" t="str">
        <f>AY218&amp;COUNTIF($AY$3:AY218,AY218)</f>
        <v>Wakefield1</v>
      </c>
      <c r="AY218" s="512" t="s">
        <v>468</v>
      </c>
      <c r="AZ218" s="512" t="s">
        <v>1237</v>
      </c>
      <c r="BA218" s="514">
        <v>7557.3459999999995</v>
      </c>
    </row>
    <row r="219" spans="1:53">
      <c r="AM219" t="s">
        <v>1684</v>
      </c>
      <c r="AN219" s="447" t="s">
        <v>330</v>
      </c>
      <c r="AO219" s="447" t="s">
        <v>170</v>
      </c>
      <c r="AP219" s="501">
        <v>319</v>
      </c>
      <c r="AX219" t="str">
        <f>AY219&amp;COUNTIF($AY$3:AY219,AY219)</f>
        <v>Walsall1</v>
      </c>
      <c r="AY219" s="512" t="s">
        <v>471</v>
      </c>
      <c r="AZ219" s="512" t="s">
        <v>595</v>
      </c>
      <c r="BA219" s="514">
        <v>6562.53</v>
      </c>
    </row>
    <row r="220" spans="1:53">
      <c r="AM220" t="s">
        <v>1685</v>
      </c>
      <c r="AN220" s="447" t="s">
        <v>330</v>
      </c>
      <c r="AO220" s="447" t="s">
        <v>4</v>
      </c>
      <c r="AP220" s="501">
        <v>2914</v>
      </c>
      <c r="AX220" t="str">
        <f>AY220&amp;COUNTIF($AY$3:AY220,AY220)</f>
        <v>Waltham Forest1</v>
      </c>
      <c r="AY220" s="512" t="s">
        <v>474</v>
      </c>
      <c r="AZ220" s="512" t="s">
        <v>597</v>
      </c>
      <c r="BA220" s="514">
        <v>4989.8379999999997</v>
      </c>
    </row>
    <row r="221" spans="1:53">
      <c r="AM221" t="s">
        <v>1563</v>
      </c>
      <c r="AN221" s="447"/>
      <c r="AO221" s="447" t="s">
        <v>1295</v>
      </c>
      <c r="AP221" s="501" t="s">
        <v>1295</v>
      </c>
      <c r="AX221" t="str">
        <f>AY221&amp;COUNTIF($AY$3:AY221,AY221)</f>
        <v>Wandsworth1</v>
      </c>
      <c r="AY221" s="512" t="s">
        <v>477</v>
      </c>
      <c r="AZ221" s="512" t="s">
        <v>599</v>
      </c>
      <c r="BA221" s="514">
        <v>5946.6729999999998</v>
      </c>
    </row>
    <row r="222" spans="1:53">
      <c r="AM222" t="s">
        <v>1686</v>
      </c>
      <c r="AN222" s="120" t="s">
        <v>333</v>
      </c>
      <c r="AO222" s="120" t="s">
        <v>385</v>
      </c>
      <c r="AP222" s="502">
        <v>35643</v>
      </c>
      <c r="AX222" t="str">
        <f>AY222&amp;COUNTIF($AY$3:AY222,AY222)</f>
        <v>Warrington1</v>
      </c>
      <c r="AY222" s="512" t="s">
        <v>480</v>
      </c>
      <c r="AZ222" s="512" t="s">
        <v>601</v>
      </c>
      <c r="BA222" s="514">
        <v>3775.4630000000002</v>
      </c>
    </row>
    <row r="223" spans="1:53">
      <c r="AM223" t="s">
        <v>1687</v>
      </c>
      <c r="AN223" s="120" t="s">
        <v>333</v>
      </c>
      <c r="AO223" s="120" t="s">
        <v>155</v>
      </c>
      <c r="AP223" s="502">
        <v>4123</v>
      </c>
      <c r="AX223" t="str">
        <f>AY223&amp;COUNTIF($AY$3:AY223,AY223)</f>
        <v>Warwickshire1</v>
      </c>
      <c r="AY223" s="513" t="s">
        <v>483</v>
      </c>
      <c r="AZ223" s="513" t="s">
        <v>159</v>
      </c>
      <c r="BA223" s="514">
        <v>1842.9276814159291</v>
      </c>
    </row>
    <row r="224" spans="1:53">
      <c r="AM224" t="s">
        <v>1688</v>
      </c>
      <c r="AN224" s="120" t="s">
        <v>333</v>
      </c>
      <c r="AO224" s="120" t="s">
        <v>115</v>
      </c>
      <c r="AP224" s="502">
        <v>837</v>
      </c>
      <c r="AX224" t="str">
        <f>AY224&amp;COUNTIF($AY$3:AY224,AY224)</f>
        <v>Warwickshire2</v>
      </c>
      <c r="AY224" s="513" t="s">
        <v>483</v>
      </c>
      <c r="AZ224" s="513" t="s">
        <v>603</v>
      </c>
      <c r="BA224" s="514">
        <v>3595.2195752212388</v>
      </c>
    </row>
    <row r="225" spans="39:53">
      <c r="AM225" t="s">
        <v>1563</v>
      </c>
      <c r="AN225" s="120"/>
      <c r="AO225" s="120" t="s">
        <v>1295</v>
      </c>
      <c r="AP225" s="502" t="s">
        <v>1295</v>
      </c>
      <c r="AX225" t="str">
        <f>AY225&amp;COUNTIF($AY$3:AY225,AY225)</f>
        <v>Warwickshire3</v>
      </c>
      <c r="AY225" s="513" t="s">
        <v>483</v>
      </c>
      <c r="AZ225" s="513" t="s">
        <v>541</v>
      </c>
      <c r="BA225" s="514">
        <v>4803.6967433628315</v>
      </c>
    </row>
    <row r="226" spans="39:53">
      <c r="AM226" t="s">
        <v>1563</v>
      </c>
      <c r="AN226" s="120"/>
      <c r="AO226" s="120" t="s">
        <v>1295</v>
      </c>
      <c r="AP226" s="502" t="s">
        <v>1295</v>
      </c>
      <c r="AX226" t="str">
        <f>AY226&amp;COUNTIF($AY$3:AY226,AY226)</f>
        <v>West Berkshire1</v>
      </c>
      <c r="AY226" s="513" t="s">
        <v>486</v>
      </c>
      <c r="AZ226" s="513" t="s">
        <v>391</v>
      </c>
      <c r="BA226" s="514">
        <v>1538.4099484536082</v>
      </c>
    </row>
    <row r="227" spans="39:53">
      <c r="AM227" t="s">
        <v>1563</v>
      </c>
      <c r="AN227" s="120"/>
      <c r="AO227" s="120" t="s">
        <v>1295</v>
      </c>
      <c r="AP227" s="502" t="s">
        <v>1295</v>
      </c>
      <c r="AX227" t="str">
        <f>AY227&amp;COUNTIF($AY$3:AY227,AY227)</f>
        <v>West Berkshire2</v>
      </c>
      <c r="AY227" s="513" t="s">
        <v>486</v>
      </c>
      <c r="AZ227" s="513" t="s">
        <v>1320</v>
      </c>
      <c r="BA227" s="514">
        <v>757.37105154639175</v>
      </c>
    </row>
    <row r="228" spans="39:53">
      <c r="AM228" t="s">
        <v>1563</v>
      </c>
      <c r="AN228" s="120"/>
      <c r="AO228" s="120" t="s">
        <v>1295</v>
      </c>
      <c r="AP228" s="502" t="s">
        <v>1295</v>
      </c>
      <c r="AX228" t="str">
        <f>AY228&amp;COUNTIF($AY$3:AY228,AY228)</f>
        <v>West Sussex1</v>
      </c>
      <c r="AY228" s="513" t="s">
        <v>489</v>
      </c>
      <c r="AZ228" s="513" t="s">
        <v>151</v>
      </c>
      <c r="BA228" s="514">
        <v>8934.5834811881177</v>
      </c>
    </row>
    <row r="229" spans="39:53">
      <c r="AM229" t="s">
        <v>1689</v>
      </c>
      <c r="AN229" s="447" t="s">
        <v>336</v>
      </c>
      <c r="AO229" s="447" t="s">
        <v>451</v>
      </c>
      <c r="AP229" s="501">
        <v>22267</v>
      </c>
      <c r="AX229" t="str">
        <f>AY229&amp;COUNTIF($AY$3:AY229,AY229)</f>
        <v>West Sussex2</v>
      </c>
      <c r="AY229" s="513" t="s">
        <v>489</v>
      </c>
      <c r="AZ229" s="513" t="s">
        <v>163</v>
      </c>
      <c r="BA229" s="514">
        <v>1978.8003683168317</v>
      </c>
    </row>
    <row r="230" spans="39:53">
      <c r="AM230" t="s">
        <v>1690</v>
      </c>
      <c r="AN230" s="120" t="s">
        <v>339</v>
      </c>
      <c r="AO230" s="120" t="s">
        <v>457</v>
      </c>
      <c r="AP230" s="502">
        <v>21421</v>
      </c>
      <c r="AX230" t="str">
        <f>AY230&amp;COUNTIF($AY$3:AY230,AY230)</f>
        <v>West Sussex3</v>
      </c>
      <c r="AY230" s="513" t="s">
        <v>489</v>
      </c>
      <c r="AZ230" s="513" t="s">
        <v>262</v>
      </c>
      <c r="BA230" s="514">
        <v>119.92729504950495</v>
      </c>
    </row>
    <row r="231" spans="39:53">
      <c r="AM231" t="s">
        <v>1691</v>
      </c>
      <c r="AN231" s="447" t="s">
        <v>342</v>
      </c>
      <c r="AO231" s="447" t="s">
        <v>487</v>
      </c>
      <c r="AP231" s="501">
        <v>6780</v>
      </c>
      <c r="AX231" t="str">
        <f>AY231&amp;COUNTIF($AY$3:AY231,AY231)</f>
        <v>West Sussex4</v>
      </c>
      <c r="AY231" s="513" t="s">
        <v>489</v>
      </c>
      <c r="AZ231" s="513" t="s">
        <v>310</v>
      </c>
      <c r="BA231" s="514">
        <v>4107.5098554455444</v>
      </c>
    </row>
    <row r="232" spans="39:53">
      <c r="AM232" t="s">
        <v>1692</v>
      </c>
      <c r="AN232" s="447" t="s">
        <v>342</v>
      </c>
      <c r="AO232" s="447" t="s">
        <v>463</v>
      </c>
      <c r="AP232" s="501">
        <v>6180</v>
      </c>
      <c r="AX232" t="str">
        <f>AY232&amp;COUNTIF($AY$3:AY232,AY232)</f>
        <v>Westminster1</v>
      </c>
      <c r="AY232" s="513" t="s">
        <v>492</v>
      </c>
      <c r="AZ232" s="513" t="s">
        <v>617</v>
      </c>
      <c r="BA232" s="514">
        <v>1610.8772343750002</v>
      </c>
    </row>
    <row r="233" spans="39:53">
      <c r="AM233" t="s">
        <v>1693</v>
      </c>
      <c r="AN233" s="447" t="s">
        <v>342</v>
      </c>
      <c r="AO233" s="447" t="s">
        <v>1212</v>
      </c>
      <c r="AP233" s="501">
        <v>9115</v>
      </c>
      <c r="AX233" t="str">
        <f>AY233&amp;COUNTIF($AY$3:AY233,AY233)</f>
        <v>Westminster2</v>
      </c>
      <c r="AY233" s="513" t="s">
        <v>492</v>
      </c>
      <c r="AZ233" s="513" t="s">
        <v>133</v>
      </c>
      <c r="BA233" s="514">
        <v>4453.6017656250006</v>
      </c>
    </row>
    <row r="234" spans="39:53">
      <c r="AM234" t="s">
        <v>1694</v>
      </c>
      <c r="AN234" s="447" t="s">
        <v>342</v>
      </c>
      <c r="AO234" s="447" t="s">
        <v>388</v>
      </c>
      <c r="AP234" s="501">
        <v>7718</v>
      </c>
      <c r="AX234" t="str">
        <f>AY234&amp;COUNTIF($AY$3:AY234,AY234)</f>
        <v>Wigan1</v>
      </c>
      <c r="AY234" s="512" t="s">
        <v>495</v>
      </c>
      <c r="AZ234" s="512" t="s">
        <v>623</v>
      </c>
      <c r="BA234" s="514">
        <v>7297.6880000000001</v>
      </c>
    </row>
    <row r="235" spans="39:53">
      <c r="AM235" t="s">
        <v>1695</v>
      </c>
      <c r="AN235" s="447" t="s">
        <v>342</v>
      </c>
      <c r="AO235" s="447" t="s">
        <v>1211</v>
      </c>
      <c r="AP235" s="501">
        <v>12418</v>
      </c>
      <c r="AX235" t="str">
        <f>AY235&amp;COUNTIF($AY$3:AY235,AY235)</f>
        <v>Wiltshire1</v>
      </c>
      <c r="AY235" s="512" t="s">
        <v>498</v>
      </c>
      <c r="AZ235" s="512" t="s">
        <v>625</v>
      </c>
      <c r="BA235" s="514">
        <v>8355.7090000000007</v>
      </c>
    </row>
    <row r="236" spans="39:53">
      <c r="AM236" t="s">
        <v>1696</v>
      </c>
      <c r="AN236" s="447" t="s">
        <v>342</v>
      </c>
      <c r="AO236" s="447" t="s">
        <v>46</v>
      </c>
      <c r="AP236" s="501">
        <v>7526</v>
      </c>
      <c r="AX236" t="str">
        <f>AY236&amp;COUNTIF($AY$3:AY236,AY236)</f>
        <v>Windsor and Maidenhead1</v>
      </c>
      <c r="AY236" s="513" t="s">
        <v>501</v>
      </c>
      <c r="AZ236" s="513" t="s">
        <v>80</v>
      </c>
      <c r="BA236" s="514">
        <v>245.36651685393261</v>
      </c>
    </row>
    <row r="237" spans="39:53">
      <c r="AM237" t="s">
        <v>1563</v>
      </c>
      <c r="AN237" s="447"/>
      <c r="AO237" s="447" t="s">
        <v>1295</v>
      </c>
      <c r="AP237" s="501" t="s">
        <v>1295</v>
      </c>
      <c r="AX237" t="str">
        <f>AY237&amp;COUNTIF($AY$3:AY237,AY237)</f>
        <v>Windsor and Maidenhead2</v>
      </c>
      <c r="AY237" s="513" t="s">
        <v>501</v>
      </c>
      <c r="AZ237" s="513" t="s">
        <v>627</v>
      </c>
      <c r="BA237" s="514">
        <v>1938.3954831460674</v>
      </c>
    </row>
    <row r="238" spans="39:53">
      <c r="AM238" t="s">
        <v>1697</v>
      </c>
      <c r="AN238" s="120" t="s">
        <v>345</v>
      </c>
      <c r="AO238" s="120" t="s">
        <v>466</v>
      </c>
      <c r="AP238" s="502">
        <v>16036</v>
      </c>
      <c r="AX238" t="str">
        <f>AY238&amp;COUNTIF($AY$3:AY238,AY238)</f>
        <v>Wirral1</v>
      </c>
      <c r="AY238" s="512" t="s">
        <v>504</v>
      </c>
      <c r="AZ238" s="512" t="s">
        <v>629</v>
      </c>
      <c r="BA238" s="514">
        <v>8251.6949999999997</v>
      </c>
    </row>
    <row r="239" spans="39:53">
      <c r="AM239" t="s">
        <v>1698</v>
      </c>
      <c r="AN239" s="447" t="s">
        <v>348</v>
      </c>
      <c r="AO239" s="447" t="s">
        <v>575</v>
      </c>
      <c r="AP239" s="501">
        <v>353</v>
      </c>
      <c r="AX239" t="str">
        <f>AY239&amp;COUNTIF($AY$3:AY239,AY239)</f>
        <v>Wokingham1</v>
      </c>
      <c r="AY239" s="512" t="s">
        <v>507</v>
      </c>
      <c r="AZ239" s="512" t="s">
        <v>631</v>
      </c>
      <c r="BA239" s="514">
        <v>1840.617</v>
      </c>
    </row>
    <row r="240" spans="39:53">
      <c r="AM240" t="s">
        <v>1699</v>
      </c>
      <c r="AN240" s="447" t="s">
        <v>348</v>
      </c>
      <c r="AO240" s="447" t="s">
        <v>469</v>
      </c>
      <c r="AP240" s="501">
        <v>33120</v>
      </c>
      <c r="AX240" t="str">
        <f>AY240&amp;COUNTIF($AY$3:AY240,AY240)</f>
        <v>Wolverhampton1</v>
      </c>
      <c r="AY240" s="512" t="s">
        <v>510</v>
      </c>
      <c r="AZ240" s="512" t="s">
        <v>633</v>
      </c>
      <c r="BA240" s="514">
        <v>6308.8540000000003</v>
      </c>
    </row>
    <row r="241" spans="39:53">
      <c r="AM241" t="s">
        <v>1700</v>
      </c>
      <c r="AN241" s="447" t="s">
        <v>348</v>
      </c>
      <c r="AO241" s="447" t="s">
        <v>17</v>
      </c>
      <c r="AP241" s="501">
        <v>424</v>
      </c>
      <c r="AX241" t="str">
        <f>AY241&amp;COUNTIF($AY$3:AY241,AY241)</f>
        <v>Worcestershire1</v>
      </c>
      <c r="AY241" s="513" t="s">
        <v>513</v>
      </c>
      <c r="AZ241" s="513" t="s">
        <v>478</v>
      </c>
      <c r="BA241" s="514">
        <v>3392.9591098901096</v>
      </c>
    </row>
    <row r="242" spans="39:53">
      <c r="AM242" t="s">
        <v>1563</v>
      </c>
      <c r="AN242" s="447"/>
      <c r="AO242" s="447" t="s">
        <v>1295</v>
      </c>
      <c r="AP242" s="501" t="s">
        <v>1295</v>
      </c>
      <c r="AX242" t="str">
        <f>AY242&amp;COUNTIF($AY$3:AY242,AY242)</f>
        <v>Worcestershire2</v>
      </c>
      <c r="AY242" s="513" t="s">
        <v>513</v>
      </c>
      <c r="AZ242" s="513" t="s">
        <v>545</v>
      </c>
      <c r="BA242" s="514">
        <v>5584.8707472527467</v>
      </c>
    </row>
    <row r="243" spans="39:53">
      <c r="AM243" t="s">
        <v>1563</v>
      </c>
      <c r="AN243" s="447"/>
      <c r="AO243" s="447" t="s">
        <v>1295</v>
      </c>
      <c r="AP243" s="501" t="s">
        <v>1295</v>
      </c>
      <c r="AX243" t="str">
        <f>AY243&amp;COUNTIF($AY$3:AY243,AY243)</f>
        <v>Worcestershire3</v>
      </c>
      <c r="AY243" s="513" t="s">
        <v>513</v>
      </c>
      <c r="AZ243" s="513" t="s">
        <v>635</v>
      </c>
      <c r="BA243" s="514">
        <v>1951.7021428571427</v>
      </c>
    </row>
    <row r="244" spans="39:53">
      <c r="AM244" t="s">
        <v>1701</v>
      </c>
      <c r="AN244" s="120" t="s">
        <v>351</v>
      </c>
      <c r="AO244" s="120" t="s">
        <v>115</v>
      </c>
      <c r="AP244" s="502">
        <v>10746</v>
      </c>
      <c r="AX244" t="str">
        <f>AY244&amp;COUNTIF($AY$3:AY244,AY244)</f>
        <v>York1</v>
      </c>
      <c r="AY244" s="513" t="s">
        <v>516</v>
      </c>
      <c r="AZ244" s="513" t="s">
        <v>589</v>
      </c>
      <c r="BA244" s="514">
        <v>3354.0859999999998</v>
      </c>
    </row>
    <row r="245" spans="39:53">
      <c r="AM245" t="s">
        <v>1702</v>
      </c>
      <c r="AN245" s="447" t="s">
        <v>354</v>
      </c>
      <c r="AO245" s="447" t="s">
        <v>448</v>
      </c>
      <c r="AP245" s="501">
        <v>17750</v>
      </c>
    </row>
    <row r="246" spans="39:53">
      <c r="AM246" t="s">
        <v>1703</v>
      </c>
      <c r="AN246" s="120" t="s">
        <v>60</v>
      </c>
      <c r="AO246" s="120" t="s">
        <v>1704</v>
      </c>
      <c r="AP246" s="502">
        <v>9831</v>
      </c>
    </row>
    <row r="247" spans="39:53">
      <c r="AM247" t="s">
        <v>1705</v>
      </c>
      <c r="AN247" s="447" t="s">
        <v>357</v>
      </c>
      <c r="AO247" s="447" t="s">
        <v>472</v>
      </c>
      <c r="AP247" s="501">
        <v>13052</v>
      </c>
    </row>
    <row r="248" spans="39:53">
      <c r="AM248" t="s">
        <v>1706</v>
      </c>
      <c r="AN248" s="120" t="s">
        <v>360</v>
      </c>
      <c r="AO248" s="120" t="s">
        <v>533</v>
      </c>
      <c r="AP248" s="502">
        <v>6166</v>
      </c>
    </row>
    <row r="249" spans="39:53">
      <c r="AM249" t="s">
        <v>1707</v>
      </c>
      <c r="AN249" s="120" t="s">
        <v>360</v>
      </c>
      <c r="AO249" s="120" t="s">
        <v>403</v>
      </c>
      <c r="AP249" s="502">
        <v>2910</v>
      </c>
    </row>
    <row r="250" spans="39:53">
      <c r="AM250" t="s">
        <v>1708</v>
      </c>
      <c r="AN250" s="447" t="s">
        <v>363</v>
      </c>
      <c r="AO250" s="447" t="s">
        <v>475</v>
      </c>
      <c r="AP250" s="501">
        <v>16032</v>
      </c>
    </row>
    <row r="251" spans="39:53">
      <c r="AM251" t="s">
        <v>1709</v>
      </c>
      <c r="AN251" s="120" t="s">
        <v>366</v>
      </c>
      <c r="AO251" s="120" t="s">
        <v>537</v>
      </c>
      <c r="AP251" s="502">
        <v>10416</v>
      </c>
    </row>
    <row r="252" spans="39:53">
      <c r="AM252" t="s">
        <v>1710</v>
      </c>
      <c r="AN252" s="447" t="s">
        <v>369</v>
      </c>
      <c r="AO252" s="447" t="s">
        <v>481</v>
      </c>
      <c r="AP252" s="501">
        <v>10689</v>
      </c>
    </row>
    <row r="253" spans="39:53">
      <c r="AM253" t="s">
        <v>1711</v>
      </c>
      <c r="AN253" s="120" t="s">
        <v>372</v>
      </c>
      <c r="AO253" s="120" t="s">
        <v>1228</v>
      </c>
      <c r="AP253" s="502">
        <v>15125</v>
      </c>
    </row>
    <row r="254" spans="39:53">
      <c r="AM254" t="s">
        <v>1712</v>
      </c>
      <c r="AN254" s="447" t="s">
        <v>375</v>
      </c>
      <c r="AO254" s="447" t="s">
        <v>484</v>
      </c>
      <c r="AP254" s="501">
        <v>18350</v>
      </c>
    </row>
    <row r="255" spans="39:53">
      <c r="AM255" t="s">
        <v>1713</v>
      </c>
      <c r="AN255" s="120" t="s">
        <v>378</v>
      </c>
      <c r="AO255" s="120" t="s">
        <v>206</v>
      </c>
      <c r="AP255" s="502">
        <v>2046</v>
      </c>
    </row>
    <row r="256" spans="39:53">
      <c r="AM256" t="s">
        <v>1714</v>
      </c>
      <c r="AN256" s="447" t="s">
        <v>381</v>
      </c>
      <c r="AO256" s="447" t="s">
        <v>490</v>
      </c>
      <c r="AP256" s="501">
        <v>18080</v>
      </c>
    </row>
    <row r="257" spans="39:42">
      <c r="AM257" t="s">
        <v>1715</v>
      </c>
      <c r="AN257" s="120" t="s">
        <v>384</v>
      </c>
      <c r="AO257" s="120" t="s">
        <v>493</v>
      </c>
      <c r="AP257" s="502">
        <v>23192</v>
      </c>
    </row>
    <row r="258" spans="39:42">
      <c r="AM258" t="s">
        <v>1716</v>
      </c>
      <c r="AN258" s="447" t="s">
        <v>387</v>
      </c>
      <c r="AO258" s="447" t="s">
        <v>553</v>
      </c>
      <c r="AP258" s="501">
        <v>8845</v>
      </c>
    </row>
    <row r="259" spans="39:42">
      <c r="AM259" t="s">
        <v>1717</v>
      </c>
      <c r="AN259" s="447" t="s">
        <v>387</v>
      </c>
      <c r="AO259" s="447" t="s">
        <v>535</v>
      </c>
      <c r="AP259" s="501">
        <v>12387</v>
      </c>
    </row>
    <row r="260" spans="39:42">
      <c r="AM260" t="s">
        <v>1718</v>
      </c>
      <c r="AN260" s="120" t="s">
        <v>390</v>
      </c>
      <c r="AO260" s="120" t="s">
        <v>499</v>
      </c>
      <c r="AP260" s="502">
        <v>37783</v>
      </c>
    </row>
    <row r="261" spans="39:42">
      <c r="AM261" t="s">
        <v>1719</v>
      </c>
      <c r="AN261" s="447" t="s">
        <v>393</v>
      </c>
      <c r="AO261" s="447" t="s">
        <v>502</v>
      </c>
      <c r="AP261" s="501">
        <v>19296</v>
      </c>
    </row>
    <row r="262" spans="39:42">
      <c r="AM262" t="s">
        <v>1720</v>
      </c>
      <c r="AN262" s="120" t="s">
        <v>396</v>
      </c>
      <c r="AO262" s="120" t="s">
        <v>505</v>
      </c>
      <c r="AP262" s="502">
        <v>8068</v>
      </c>
    </row>
    <row r="263" spans="39:42">
      <c r="AM263" t="s">
        <v>1721</v>
      </c>
      <c r="AN263" s="447" t="s">
        <v>399</v>
      </c>
      <c r="AO263" s="447" t="s">
        <v>508</v>
      </c>
      <c r="AP263" s="501">
        <v>13719</v>
      </c>
    </row>
    <row r="264" spans="39:42">
      <c r="AM264" t="s">
        <v>1722</v>
      </c>
      <c r="AN264" s="120" t="s">
        <v>402</v>
      </c>
      <c r="AO264" s="120" t="s">
        <v>511</v>
      </c>
      <c r="AP264" s="502">
        <v>35067</v>
      </c>
    </row>
    <row r="265" spans="39:42">
      <c r="AM265" t="s">
        <v>1563</v>
      </c>
      <c r="AN265" s="120"/>
      <c r="AO265" s="120" t="s">
        <v>1295</v>
      </c>
      <c r="AP265" s="502" t="s">
        <v>1295</v>
      </c>
    </row>
    <row r="266" spans="39:42">
      <c r="AM266" t="s">
        <v>1563</v>
      </c>
      <c r="AN266" s="120"/>
      <c r="AO266" s="120" t="s">
        <v>1295</v>
      </c>
      <c r="AP266" s="502" t="s">
        <v>1295</v>
      </c>
    </row>
    <row r="267" spans="39:42">
      <c r="AM267" t="s">
        <v>1563</v>
      </c>
      <c r="AN267" s="120"/>
      <c r="AO267" s="120" t="s">
        <v>1295</v>
      </c>
      <c r="AP267" s="502" t="s">
        <v>1295</v>
      </c>
    </row>
    <row r="268" spans="39:42">
      <c r="AM268" t="s">
        <v>1563</v>
      </c>
      <c r="AN268" s="120"/>
      <c r="AO268" s="120" t="s">
        <v>1295</v>
      </c>
      <c r="AP268" s="502" t="s">
        <v>1295</v>
      </c>
    </row>
    <row r="269" spans="39:42">
      <c r="AM269" t="s">
        <v>1723</v>
      </c>
      <c r="AN269" s="447" t="s">
        <v>405</v>
      </c>
      <c r="AO269" s="447" t="s">
        <v>523</v>
      </c>
      <c r="AP269" s="501">
        <v>13525</v>
      </c>
    </row>
    <row r="270" spans="39:42">
      <c r="AM270" t="s">
        <v>1724</v>
      </c>
      <c r="AN270" s="120" t="s">
        <v>408</v>
      </c>
      <c r="AO270" s="120" t="s">
        <v>539</v>
      </c>
      <c r="AP270" s="502">
        <v>12515</v>
      </c>
    </row>
    <row r="271" spans="39:42">
      <c r="AM271" t="s">
        <v>1725</v>
      </c>
      <c r="AN271" s="447" t="s">
        <v>411</v>
      </c>
      <c r="AO271" s="447" t="s">
        <v>547</v>
      </c>
      <c r="AP271" s="501">
        <v>15325</v>
      </c>
    </row>
    <row r="272" spans="39:42">
      <c r="AM272" t="s">
        <v>1726</v>
      </c>
      <c r="AN272" s="120" t="s">
        <v>414</v>
      </c>
      <c r="AO272" s="120" t="s">
        <v>549</v>
      </c>
      <c r="AP272" s="502">
        <v>11619</v>
      </c>
    </row>
    <row r="273" spans="39:42">
      <c r="AM273" t="s">
        <v>1727</v>
      </c>
      <c r="AN273" s="447" t="s">
        <v>417</v>
      </c>
      <c r="AO273" s="447" t="s">
        <v>555</v>
      </c>
      <c r="AP273" s="501">
        <v>20478</v>
      </c>
    </row>
    <row r="274" spans="39:42">
      <c r="AM274" t="s">
        <v>1728</v>
      </c>
      <c r="AN274" s="120" t="s">
        <v>420</v>
      </c>
      <c r="AO274" s="120" t="s">
        <v>557</v>
      </c>
      <c r="AP274" s="502">
        <v>14184</v>
      </c>
    </row>
    <row r="275" spans="39:42">
      <c r="AM275" t="s">
        <v>1729</v>
      </c>
      <c r="AN275" s="447" t="s">
        <v>423</v>
      </c>
      <c r="AO275" s="447" t="s">
        <v>563</v>
      </c>
      <c r="AP275" s="501">
        <v>541</v>
      </c>
    </row>
    <row r="276" spans="39:42">
      <c r="AM276" t="s">
        <v>1730</v>
      </c>
      <c r="AN276" s="447" t="s">
        <v>423</v>
      </c>
      <c r="AO276" s="447" t="s">
        <v>559</v>
      </c>
      <c r="AP276" s="501">
        <v>8485</v>
      </c>
    </row>
    <row r="277" spans="39:42">
      <c r="AM277" t="s">
        <v>1731</v>
      </c>
      <c r="AN277" s="447" t="s">
        <v>423</v>
      </c>
      <c r="AO277" s="447" t="s">
        <v>1221</v>
      </c>
      <c r="AP277" s="501">
        <v>12341</v>
      </c>
    </row>
    <row r="278" spans="39:42">
      <c r="AM278" t="s">
        <v>1732</v>
      </c>
      <c r="AN278" s="447" t="s">
        <v>423</v>
      </c>
      <c r="AO278" s="447" t="s">
        <v>439</v>
      </c>
      <c r="AP278" s="501">
        <v>13399</v>
      </c>
    </row>
    <row r="279" spans="39:42">
      <c r="AM279" t="s">
        <v>1733</v>
      </c>
      <c r="AN279" s="447" t="s">
        <v>423</v>
      </c>
      <c r="AO279" s="447" t="s">
        <v>213</v>
      </c>
      <c r="AP279" s="501">
        <v>7480</v>
      </c>
    </row>
    <row r="280" spans="39:42">
      <c r="AM280" t="s">
        <v>1734</v>
      </c>
      <c r="AN280" s="447" t="s">
        <v>423</v>
      </c>
      <c r="AO280" s="447" t="s">
        <v>122</v>
      </c>
      <c r="AP280" s="501">
        <v>8048</v>
      </c>
    </row>
    <row r="281" spans="39:42">
      <c r="AM281" t="s">
        <v>1563</v>
      </c>
      <c r="AN281" s="447"/>
      <c r="AO281" s="447" t="s">
        <v>1295</v>
      </c>
      <c r="AP281" s="501" t="s">
        <v>1295</v>
      </c>
    </row>
    <row r="282" spans="39:42">
      <c r="AM282" t="s">
        <v>1563</v>
      </c>
      <c r="AN282" s="447"/>
      <c r="AO282" s="447" t="s">
        <v>1295</v>
      </c>
      <c r="AP282" s="501" t="s">
        <v>1295</v>
      </c>
    </row>
    <row r="283" spans="39:42">
      <c r="AM283" t="s">
        <v>1735</v>
      </c>
      <c r="AN283" s="120" t="s">
        <v>426</v>
      </c>
      <c r="AO283" s="120" t="s">
        <v>561</v>
      </c>
      <c r="AP283" s="502">
        <v>18404</v>
      </c>
    </row>
    <row r="284" spans="39:42">
      <c r="AM284" t="s">
        <v>1736</v>
      </c>
      <c r="AN284" s="447" t="s">
        <v>429</v>
      </c>
      <c r="AO284" s="447" t="s">
        <v>1226</v>
      </c>
      <c r="AP284" s="501">
        <v>12882</v>
      </c>
    </row>
    <row r="285" spans="39:42">
      <c r="AM285" t="s">
        <v>1737</v>
      </c>
      <c r="AN285" s="120" t="s">
        <v>432</v>
      </c>
      <c r="AO285" s="120" t="s">
        <v>563</v>
      </c>
      <c r="AP285" s="502">
        <v>18419</v>
      </c>
    </row>
    <row r="286" spans="39:42">
      <c r="AM286" t="s">
        <v>1738</v>
      </c>
      <c r="AN286" s="447" t="s">
        <v>435</v>
      </c>
      <c r="AO286" s="447" t="s">
        <v>621</v>
      </c>
      <c r="AP286" s="501">
        <v>14222</v>
      </c>
    </row>
    <row r="287" spans="39:42">
      <c r="AM287" t="s">
        <v>1739</v>
      </c>
      <c r="AN287" s="447" t="s">
        <v>435</v>
      </c>
      <c r="AO287" s="447" t="s">
        <v>319</v>
      </c>
      <c r="AP287" s="501">
        <v>22885</v>
      </c>
    </row>
    <row r="288" spans="39:42">
      <c r="AM288" t="s">
        <v>1740</v>
      </c>
      <c r="AN288" s="447" t="s">
        <v>435</v>
      </c>
      <c r="AO288" s="447" t="s">
        <v>1214</v>
      </c>
      <c r="AP288" s="501">
        <v>8396</v>
      </c>
    </row>
    <row r="289" spans="39:42">
      <c r="AM289" t="s">
        <v>1563</v>
      </c>
      <c r="AN289" s="447"/>
      <c r="AO289" s="447" t="s">
        <v>1295</v>
      </c>
      <c r="AP289" s="501" t="s">
        <v>1295</v>
      </c>
    </row>
    <row r="290" spans="39:42">
      <c r="AM290" t="s">
        <v>1563</v>
      </c>
      <c r="AN290" s="447"/>
      <c r="AO290" s="447" t="s">
        <v>1295</v>
      </c>
      <c r="AP290" s="501" t="s">
        <v>1295</v>
      </c>
    </row>
    <row r="291" spans="39:42">
      <c r="AM291" t="s">
        <v>1563</v>
      </c>
      <c r="AN291" s="447"/>
      <c r="AO291" s="447" t="s">
        <v>1295</v>
      </c>
      <c r="AP291" s="501" t="s">
        <v>1295</v>
      </c>
    </row>
    <row r="292" spans="39:42">
      <c r="AM292" t="s">
        <v>1563</v>
      </c>
      <c r="AN292" s="447"/>
      <c r="AO292" s="447" t="s">
        <v>1295</v>
      </c>
      <c r="AP292" s="501" t="s">
        <v>1295</v>
      </c>
    </row>
    <row r="293" spans="39:42">
      <c r="AM293" t="s">
        <v>1741</v>
      </c>
      <c r="AN293" s="120" t="s">
        <v>438</v>
      </c>
      <c r="AO293" s="120" t="s">
        <v>565</v>
      </c>
      <c r="AP293" s="502">
        <v>22432</v>
      </c>
    </row>
    <row r="294" spans="39:42">
      <c r="AM294" t="s">
        <v>1742</v>
      </c>
      <c r="AN294" s="447" t="s">
        <v>441</v>
      </c>
      <c r="AO294" s="447" t="s">
        <v>627</v>
      </c>
      <c r="AP294" s="501">
        <v>540</v>
      </c>
    </row>
    <row r="295" spans="39:42">
      <c r="AM295" t="s">
        <v>1743</v>
      </c>
      <c r="AN295" s="447" t="s">
        <v>441</v>
      </c>
      <c r="AO295" s="447" t="s">
        <v>569</v>
      </c>
      <c r="AP295" s="501">
        <v>5501</v>
      </c>
    </row>
    <row r="296" spans="39:42">
      <c r="AM296" t="s">
        <v>1744</v>
      </c>
      <c r="AN296" s="447" t="s">
        <v>441</v>
      </c>
      <c r="AO296" s="447" t="s">
        <v>567</v>
      </c>
      <c r="AP296" s="501">
        <v>16398</v>
      </c>
    </row>
    <row r="297" spans="39:42">
      <c r="AM297" t="s">
        <v>1745</v>
      </c>
      <c r="AN297" s="447" t="s">
        <v>441</v>
      </c>
      <c r="AO297" s="447" t="s">
        <v>445</v>
      </c>
      <c r="AP297" s="501">
        <v>19808</v>
      </c>
    </row>
    <row r="298" spans="39:42">
      <c r="AM298" t="s">
        <v>1746</v>
      </c>
      <c r="AN298" s="447" t="s">
        <v>441</v>
      </c>
      <c r="AO298" s="447" t="s">
        <v>415</v>
      </c>
      <c r="AP298" s="501">
        <v>2601</v>
      </c>
    </row>
    <row r="299" spans="39:42">
      <c r="AM299" t="s">
        <v>1747</v>
      </c>
      <c r="AN299" s="447" t="s">
        <v>441</v>
      </c>
      <c r="AO299" s="447" t="s">
        <v>262</v>
      </c>
      <c r="AP299" s="501">
        <v>11230</v>
      </c>
    </row>
    <row r="300" spans="39:42">
      <c r="AM300" t="s">
        <v>1748</v>
      </c>
      <c r="AN300" s="447" t="s">
        <v>441</v>
      </c>
      <c r="AO300" s="447" t="s">
        <v>216</v>
      </c>
      <c r="AP300" s="501">
        <v>9397</v>
      </c>
    </row>
    <row r="301" spans="39:42">
      <c r="AM301" t="s">
        <v>1563</v>
      </c>
      <c r="AN301" s="447"/>
      <c r="AO301" s="447" t="s">
        <v>1295</v>
      </c>
      <c r="AP301" s="501" t="s">
        <v>1295</v>
      </c>
    </row>
    <row r="302" spans="39:42">
      <c r="AM302" t="s">
        <v>1563</v>
      </c>
      <c r="AN302" s="447"/>
      <c r="AO302" s="447" t="s">
        <v>1295</v>
      </c>
      <c r="AP302" s="501" t="s">
        <v>1295</v>
      </c>
    </row>
    <row r="303" spans="39:42">
      <c r="AM303" t="s">
        <v>1563</v>
      </c>
      <c r="AN303" s="447"/>
      <c r="AO303" s="447" t="s">
        <v>1295</v>
      </c>
      <c r="AP303" s="501" t="s">
        <v>1295</v>
      </c>
    </row>
    <row r="304" spans="39:42">
      <c r="AM304" t="s">
        <v>1563</v>
      </c>
      <c r="AN304" s="447"/>
      <c r="AO304" s="447" t="s">
        <v>1295</v>
      </c>
      <c r="AP304" s="501" t="s">
        <v>1295</v>
      </c>
    </row>
    <row r="305" spans="39:42">
      <c r="AM305" t="s">
        <v>1749</v>
      </c>
      <c r="AN305" s="120" t="s">
        <v>444</v>
      </c>
      <c r="AO305" s="120" t="s">
        <v>571</v>
      </c>
      <c r="AP305" s="502">
        <v>11096</v>
      </c>
    </row>
    <row r="306" spans="39:42">
      <c r="AM306" t="s">
        <v>1750</v>
      </c>
      <c r="AN306" s="447" t="s">
        <v>447</v>
      </c>
      <c r="AO306" s="447" t="s">
        <v>575</v>
      </c>
      <c r="AP306" s="501">
        <v>11753</v>
      </c>
    </row>
    <row r="307" spans="39:42">
      <c r="AM307" t="s">
        <v>1751</v>
      </c>
      <c r="AN307" s="120" t="s">
        <v>450</v>
      </c>
      <c r="AO307" s="120" t="s">
        <v>577</v>
      </c>
      <c r="AP307" s="502">
        <v>15140</v>
      </c>
    </row>
    <row r="308" spans="39:42">
      <c r="AM308" t="s">
        <v>1752</v>
      </c>
      <c r="AN308" s="447" t="s">
        <v>453</v>
      </c>
      <c r="AO308" s="447" t="s">
        <v>1222</v>
      </c>
      <c r="AP308" s="501">
        <v>10410</v>
      </c>
    </row>
    <row r="309" spans="39:42">
      <c r="AM309" t="s">
        <v>1753</v>
      </c>
      <c r="AN309" s="120" t="s">
        <v>456</v>
      </c>
      <c r="AO309" s="120" t="s">
        <v>583</v>
      </c>
      <c r="AP309" s="502">
        <v>9720</v>
      </c>
    </row>
    <row r="310" spans="39:42">
      <c r="AM310" t="s">
        <v>1754</v>
      </c>
      <c r="AN310" s="447" t="s">
        <v>459</v>
      </c>
      <c r="AO310" s="447" t="s">
        <v>517</v>
      </c>
      <c r="AP310" s="501">
        <v>10533</v>
      </c>
    </row>
    <row r="311" spans="39:42">
      <c r="AM311" t="s">
        <v>1755</v>
      </c>
      <c r="AN311" s="120" t="s">
        <v>462</v>
      </c>
      <c r="AO311" s="120" t="s">
        <v>585</v>
      </c>
      <c r="AP311" s="502">
        <v>18738</v>
      </c>
    </row>
    <row r="312" spans="39:42">
      <c r="AM312" t="s">
        <v>1756</v>
      </c>
      <c r="AN312" s="447" t="s">
        <v>465</v>
      </c>
      <c r="AO312" s="447" t="s">
        <v>587</v>
      </c>
      <c r="AP312" s="501">
        <v>14103</v>
      </c>
    </row>
    <row r="313" spans="39:42">
      <c r="AM313" t="s">
        <v>1757</v>
      </c>
      <c r="AN313" s="120" t="s">
        <v>468</v>
      </c>
      <c r="AO313" s="120" t="s">
        <v>1237</v>
      </c>
      <c r="AP313" s="502">
        <v>24275</v>
      </c>
    </row>
    <row r="314" spans="39:42">
      <c r="AM314" t="s">
        <v>1758</v>
      </c>
      <c r="AN314" s="447" t="s">
        <v>471</v>
      </c>
      <c r="AO314" s="447" t="s">
        <v>595</v>
      </c>
      <c r="AP314" s="501">
        <v>19342</v>
      </c>
    </row>
    <row r="315" spans="39:42">
      <c r="AM315" t="s">
        <v>1759</v>
      </c>
      <c r="AN315" s="120" t="s">
        <v>474</v>
      </c>
      <c r="AO315" s="120" t="s">
        <v>597</v>
      </c>
      <c r="AP315" s="502">
        <v>16054</v>
      </c>
    </row>
    <row r="316" spans="39:42">
      <c r="AM316" t="s">
        <v>1760</v>
      </c>
      <c r="AN316" s="447" t="s">
        <v>477</v>
      </c>
      <c r="AO316" s="447" t="s">
        <v>599</v>
      </c>
      <c r="AP316" s="501">
        <v>20007</v>
      </c>
    </row>
    <row r="317" spans="39:42">
      <c r="AM317" t="s">
        <v>1761</v>
      </c>
      <c r="AN317" s="120" t="s">
        <v>480</v>
      </c>
      <c r="AO317" s="120" t="s">
        <v>601</v>
      </c>
      <c r="AP317" s="502">
        <v>12638</v>
      </c>
    </row>
    <row r="318" spans="39:42">
      <c r="AM318" t="s">
        <v>1762</v>
      </c>
      <c r="AN318" s="447" t="s">
        <v>483</v>
      </c>
      <c r="AO318" s="447" t="s">
        <v>603</v>
      </c>
      <c r="AP318" s="501">
        <v>11036</v>
      </c>
    </row>
    <row r="319" spans="39:42">
      <c r="AM319" t="s">
        <v>1763</v>
      </c>
      <c r="AN319" s="447" t="s">
        <v>483</v>
      </c>
      <c r="AO319" s="447" t="s">
        <v>541</v>
      </c>
      <c r="AP319" s="501">
        <v>15500</v>
      </c>
    </row>
    <row r="320" spans="39:42">
      <c r="AM320" t="s">
        <v>1764</v>
      </c>
      <c r="AN320" s="447" t="s">
        <v>483</v>
      </c>
      <c r="AO320" s="447" t="s">
        <v>159</v>
      </c>
      <c r="AP320" s="501">
        <v>6432</v>
      </c>
    </row>
    <row r="321" spans="39:42">
      <c r="AM321" t="s">
        <v>1563</v>
      </c>
      <c r="AN321" s="447"/>
      <c r="AO321" s="447" t="s">
        <v>1295</v>
      </c>
      <c r="AP321" s="501" t="s">
        <v>1295</v>
      </c>
    </row>
    <row r="322" spans="39:42">
      <c r="AM322" t="s">
        <v>1563</v>
      </c>
      <c r="AN322" s="447"/>
      <c r="AO322" s="447" t="s">
        <v>1295</v>
      </c>
      <c r="AP322" s="501" t="s">
        <v>1295</v>
      </c>
    </row>
    <row r="323" spans="39:42">
      <c r="AM323" t="s">
        <v>1765</v>
      </c>
      <c r="AN323" s="120" t="s">
        <v>486</v>
      </c>
      <c r="AO323" s="120" t="s">
        <v>403</v>
      </c>
      <c r="AP323" s="502">
        <v>2806</v>
      </c>
    </row>
    <row r="324" spans="39:42">
      <c r="AM324" t="s">
        <v>1766</v>
      </c>
      <c r="AN324" s="120" t="s">
        <v>486</v>
      </c>
      <c r="AO324" s="120" t="s">
        <v>391</v>
      </c>
      <c r="AP324" s="502">
        <v>5722</v>
      </c>
    </row>
    <row r="325" spans="39:42">
      <c r="AM325" t="s">
        <v>1767</v>
      </c>
      <c r="AN325" s="447" t="s">
        <v>489</v>
      </c>
      <c r="AO325" s="447" t="s">
        <v>310</v>
      </c>
      <c r="AP325" s="501">
        <v>12712</v>
      </c>
    </row>
    <row r="326" spans="39:42">
      <c r="AM326" t="s">
        <v>1768</v>
      </c>
      <c r="AN326" s="447" t="s">
        <v>489</v>
      </c>
      <c r="AO326" s="447" t="s">
        <v>262</v>
      </c>
      <c r="AP326" s="501">
        <v>379</v>
      </c>
    </row>
    <row r="327" spans="39:42">
      <c r="AM327" t="s">
        <v>1769</v>
      </c>
      <c r="AN327" s="447" t="s">
        <v>489</v>
      </c>
      <c r="AO327" s="447" t="s">
        <v>163</v>
      </c>
      <c r="AP327" s="501">
        <v>7244</v>
      </c>
    </row>
    <row r="328" spans="39:42">
      <c r="AM328" t="s">
        <v>1770</v>
      </c>
      <c r="AN328" s="447" t="s">
        <v>489</v>
      </c>
      <c r="AO328" s="447" t="s">
        <v>151</v>
      </c>
      <c r="AP328" s="501">
        <v>31215</v>
      </c>
    </row>
    <row r="329" spans="39:42">
      <c r="AM329" t="s">
        <v>1563</v>
      </c>
      <c r="AN329" s="447"/>
      <c r="AO329" s="447" t="s">
        <v>1295</v>
      </c>
      <c r="AP329" s="501" t="s">
        <v>1295</v>
      </c>
    </row>
    <row r="330" spans="39:42">
      <c r="AM330" t="s">
        <v>1563</v>
      </c>
      <c r="AN330" s="447"/>
      <c r="AO330" s="447" t="s">
        <v>1295</v>
      </c>
      <c r="AP330" s="501" t="s">
        <v>1295</v>
      </c>
    </row>
    <row r="331" spans="39:42">
      <c r="AM331" t="s">
        <v>1563</v>
      </c>
      <c r="AN331" s="447"/>
      <c r="AO331" s="447" t="s">
        <v>1295</v>
      </c>
      <c r="AP331" s="501" t="s">
        <v>1295</v>
      </c>
    </row>
    <row r="332" spans="39:42">
      <c r="AM332" t="s">
        <v>1771</v>
      </c>
      <c r="AN332" s="120" t="s">
        <v>492</v>
      </c>
      <c r="AO332" s="120" t="s">
        <v>617</v>
      </c>
      <c r="AP332" s="502">
        <v>4650</v>
      </c>
    </row>
    <row r="333" spans="39:42">
      <c r="AM333" t="s">
        <v>1772</v>
      </c>
      <c r="AN333" s="120" t="s">
        <v>492</v>
      </c>
      <c r="AO333" s="120" t="s">
        <v>133</v>
      </c>
      <c r="AP333" s="502">
        <v>13553</v>
      </c>
    </row>
    <row r="334" spans="39:42">
      <c r="AM334" t="s">
        <v>1773</v>
      </c>
      <c r="AN334" s="447" t="s">
        <v>495</v>
      </c>
      <c r="AO334" s="447" t="s">
        <v>623</v>
      </c>
      <c r="AP334" s="501">
        <v>22341</v>
      </c>
    </row>
    <row r="335" spans="39:42">
      <c r="AM335" t="s">
        <v>1774</v>
      </c>
      <c r="AN335" s="120" t="s">
        <v>498</v>
      </c>
      <c r="AO335" s="120" t="s">
        <v>625</v>
      </c>
      <c r="AP335" s="502">
        <v>27073</v>
      </c>
    </row>
    <row r="336" spans="39:42">
      <c r="AM336" t="s">
        <v>1775</v>
      </c>
      <c r="AN336" s="447" t="s">
        <v>501</v>
      </c>
      <c r="AO336" s="447" t="s">
        <v>627</v>
      </c>
      <c r="AP336" s="501">
        <v>7003</v>
      </c>
    </row>
    <row r="337" spans="39:42">
      <c r="AM337" t="s">
        <v>1776</v>
      </c>
      <c r="AN337" s="447" t="s">
        <v>501</v>
      </c>
      <c r="AO337" s="447" t="s">
        <v>80</v>
      </c>
      <c r="AP337" s="501">
        <v>837</v>
      </c>
    </row>
    <row r="338" spans="39:42">
      <c r="AM338" t="s">
        <v>1777</v>
      </c>
      <c r="AN338" s="120" t="s">
        <v>504</v>
      </c>
      <c r="AO338" s="120" t="s">
        <v>629</v>
      </c>
      <c r="AP338" s="502">
        <v>24933</v>
      </c>
    </row>
    <row r="339" spans="39:42">
      <c r="AM339" t="s">
        <v>1778</v>
      </c>
      <c r="AN339" s="447" t="s">
        <v>507</v>
      </c>
      <c r="AO339" s="447" t="s">
        <v>631</v>
      </c>
      <c r="AP339" s="501">
        <v>7431</v>
      </c>
    </row>
    <row r="340" spans="39:42">
      <c r="AM340" t="s">
        <v>1779</v>
      </c>
      <c r="AN340" s="120" t="s">
        <v>510</v>
      </c>
      <c r="AO340" s="120" t="s">
        <v>633</v>
      </c>
      <c r="AP340" s="502">
        <v>17939</v>
      </c>
    </row>
    <row r="341" spans="39:42">
      <c r="AM341" t="s">
        <v>1780</v>
      </c>
      <c r="AN341" s="447" t="s">
        <v>513</v>
      </c>
      <c r="AO341" s="447" t="s">
        <v>635</v>
      </c>
      <c r="AP341" s="501">
        <v>6572</v>
      </c>
    </row>
    <row r="342" spans="39:42">
      <c r="AM342" t="s">
        <v>1781</v>
      </c>
      <c r="AN342" s="447" t="s">
        <v>513</v>
      </c>
      <c r="AO342" s="447" t="s">
        <v>545</v>
      </c>
      <c r="AP342" s="501">
        <v>16866</v>
      </c>
    </row>
    <row r="343" spans="39:42">
      <c r="AM343" t="s">
        <v>1782</v>
      </c>
      <c r="AN343" s="447" t="s">
        <v>513</v>
      </c>
      <c r="AO343" s="447" t="s">
        <v>478</v>
      </c>
      <c r="AP343" s="501">
        <v>10069</v>
      </c>
    </row>
    <row r="344" spans="39:42">
      <c r="AM344" t="s">
        <v>1563</v>
      </c>
      <c r="AN344" s="447"/>
      <c r="AO344" s="447" t="s">
        <v>1295</v>
      </c>
      <c r="AP344" s="501" t="s">
        <v>1295</v>
      </c>
    </row>
    <row r="345" spans="39:42">
      <c r="AM345" t="s">
        <v>1563</v>
      </c>
      <c r="AN345" s="447"/>
      <c r="AO345" s="447" t="s">
        <v>1295</v>
      </c>
      <c r="AP345" s="501" t="s">
        <v>1295</v>
      </c>
    </row>
    <row r="346" spans="39:42">
      <c r="AM346" t="s">
        <v>1563</v>
      </c>
      <c r="AN346" s="447"/>
      <c r="AO346" s="447" t="s">
        <v>1295</v>
      </c>
      <c r="AP346" s="501" t="s">
        <v>1295</v>
      </c>
    </row>
    <row r="347" spans="39:42">
      <c r="AM347" t="s">
        <v>1783</v>
      </c>
      <c r="AN347" s="120" t="s">
        <v>516</v>
      </c>
      <c r="AO347" s="120" t="s">
        <v>589</v>
      </c>
      <c r="AP347" s="502">
        <v>11176</v>
      </c>
    </row>
    <row r="348" spans="39:42">
      <c r="AP348">
        <v>3460000</v>
      </c>
    </row>
  </sheetData>
  <sheetProtection password="DABD" sheet="1" objects="1" scenarios="1" formatColumns="0" formatRows="0" autoFilter="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J271"/>
  <sheetViews>
    <sheetView workbookViewId="0">
      <selection activeCell="B11" sqref="B11"/>
    </sheetView>
  </sheetViews>
  <sheetFormatPr defaultRowHeight="15.05"/>
  <cols>
    <col min="1" max="1" width="44.5546875" bestFit="1" customWidth="1"/>
    <col min="2" max="2" width="31.109375" style="210" bestFit="1" customWidth="1"/>
    <col min="3" max="3" width="17.5546875" customWidth="1"/>
  </cols>
  <sheetData>
    <row r="1" spans="1:10">
      <c r="A1" s="274" t="s">
        <v>1004</v>
      </c>
      <c r="B1" s="356" t="str">
        <f>'6. HWB Supporting Metrics'!A1</f>
        <v>Leicester</v>
      </c>
      <c r="C1" s="274"/>
      <c r="D1" s="274"/>
      <c r="E1" s="274"/>
      <c r="F1" s="274"/>
      <c r="G1" s="274"/>
      <c r="H1" s="274"/>
      <c r="I1" s="274"/>
      <c r="J1" s="274"/>
    </row>
    <row r="2" spans="1:10">
      <c r="A2" s="274" t="s">
        <v>1005</v>
      </c>
      <c r="B2" s="356">
        <f>'6. HWB Supporting Metrics'!C9</f>
        <v>290</v>
      </c>
      <c r="C2" s="274"/>
      <c r="D2" s="276"/>
      <c r="E2" s="276"/>
      <c r="F2" s="276"/>
      <c r="G2" s="276"/>
      <c r="H2" s="276"/>
      <c r="I2" s="276"/>
      <c r="J2" s="276"/>
    </row>
    <row r="3" spans="1:10">
      <c r="A3" s="274" t="s">
        <v>1006</v>
      </c>
      <c r="B3" s="356">
        <f>'6. HWB Supporting Metrics'!C10</f>
        <v>38080</v>
      </c>
      <c r="C3" s="274"/>
      <c r="D3" s="274"/>
      <c r="E3" s="274"/>
      <c r="F3" s="274"/>
      <c r="G3" s="274"/>
      <c r="H3" s="274"/>
      <c r="I3" s="274"/>
      <c r="J3" s="274"/>
    </row>
    <row r="4" spans="1:10">
      <c r="A4" s="274" t="s">
        <v>1007</v>
      </c>
      <c r="B4" s="356">
        <f>'6. HWB Supporting Metrics'!C8</f>
        <v>764.2</v>
      </c>
      <c r="C4" s="274"/>
      <c r="D4" s="274"/>
      <c r="E4" s="274"/>
      <c r="F4" s="274"/>
      <c r="G4" s="274"/>
      <c r="H4" s="274"/>
      <c r="I4" s="274"/>
      <c r="J4" s="274"/>
    </row>
    <row r="5" spans="1:10">
      <c r="A5" s="274" t="s">
        <v>1008</v>
      </c>
      <c r="B5" s="356">
        <f>'6. HWB Supporting Metrics'!D9</f>
        <v>280</v>
      </c>
      <c r="C5" s="274"/>
      <c r="D5" s="274"/>
      <c r="E5" s="274"/>
      <c r="F5" s="274"/>
      <c r="G5" s="274"/>
      <c r="H5" s="274"/>
      <c r="I5" s="274"/>
      <c r="J5" s="274"/>
    </row>
    <row r="6" spans="1:10">
      <c r="A6" s="274" t="s">
        <v>1009</v>
      </c>
      <c r="B6" s="356">
        <f>'6. HWB Supporting Metrics'!D10</f>
        <v>39438.365000000013</v>
      </c>
      <c r="C6" s="274"/>
      <c r="D6" s="274"/>
      <c r="E6" s="274"/>
      <c r="F6" s="274"/>
      <c r="G6" s="274"/>
      <c r="H6" s="274"/>
      <c r="I6" s="274"/>
      <c r="J6" s="274"/>
    </row>
    <row r="7" spans="1:10">
      <c r="A7" s="274" t="s">
        <v>1010</v>
      </c>
      <c r="B7" s="356">
        <f>'6. HWB Supporting Metrics'!D8</f>
        <v>709.96858008692789</v>
      </c>
      <c r="C7" s="274"/>
      <c r="D7" s="274"/>
      <c r="E7" s="274"/>
      <c r="F7" s="274"/>
      <c r="G7" s="274"/>
      <c r="H7" s="274"/>
      <c r="I7" s="274"/>
      <c r="J7" s="274"/>
    </row>
    <row r="8" spans="1:10">
      <c r="A8" s="274" t="s">
        <v>1011</v>
      </c>
      <c r="B8" s="356">
        <f>'6. HWB Supporting Metrics'!E9</f>
        <v>270</v>
      </c>
      <c r="C8" s="274"/>
      <c r="D8" s="274"/>
      <c r="E8" s="274"/>
      <c r="F8" s="274"/>
      <c r="G8" s="274"/>
      <c r="H8" s="274"/>
      <c r="I8" s="274"/>
      <c r="J8" s="274"/>
    </row>
    <row r="9" spans="1:10">
      <c r="A9" s="274" t="s">
        <v>1012</v>
      </c>
      <c r="B9" s="356">
        <f>'6. HWB Supporting Metrics'!E10</f>
        <v>40216.061999999998</v>
      </c>
      <c r="C9" s="274"/>
      <c r="D9" s="274"/>
      <c r="E9" s="274"/>
      <c r="F9" s="274"/>
      <c r="G9" s="274"/>
      <c r="H9" s="274"/>
      <c r="I9" s="274"/>
      <c r="J9" s="274"/>
    </row>
    <row r="10" spans="1:10">
      <c r="A10" s="274" t="s">
        <v>1013</v>
      </c>
      <c r="B10" s="356">
        <f>'6. HWB Supporting Metrics'!E8</f>
        <v>671.37354224289788</v>
      </c>
      <c r="C10" s="274"/>
      <c r="D10" s="274"/>
      <c r="E10" s="274"/>
      <c r="F10" s="274"/>
      <c r="G10" s="274"/>
      <c r="H10" s="274"/>
      <c r="I10" s="274"/>
      <c r="J10" s="274"/>
    </row>
    <row r="11" spans="1:10">
      <c r="A11" s="274" t="s">
        <v>1014</v>
      </c>
      <c r="B11" s="356">
        <f>'6. HWB Supporting Metrics'!H8</f>
        <v>0</v>
      </c>
      <c r="C11" s="274"/>
      <c r="D11" s="274"/>
      <c r="E11" s="274"/>
      <c r="F11" s="274"/>
      <c r="G11" s="274"/>
      <c r="H11" s="274"/>
      <c r="I11" s="274"/>
      <c r="J11" s="274"/>
    </row>
    <row r="12" spans="1:10">
      <c r="A12" s="274" t="s">
        <v>1015</v>
      </c>
      <c r="B12" s="356">
        <f>'6. HWB Supporting Metrics'!D11</f>
        <v>-10</v>
      </c>
      <c r="C12" s="274"/>
      <c r="D12" s="274"/>
      <c r="E12" s="274"/>
      <c r="F12" s="274"/>
      <c r="G12" s="274"/>
      <c r="H12" s="274"/>
      <c r="I12" s="274"/>
      <c r="J12" s="274"/>
    </row>
    <row r="13" spans="1:10">
      <c r="A13" s="274" t="s">
        <v>1016</v>
      </c>
      <c r="B13" s="356">
        <f>'6. HWB Supporting Metrics'!D12</f>
        <v>-3.4482758620689613E-2</v>
      </c>
      <c r="C13" s="357"/>
      <c r="D13" s="274"/>
      <c r="E13" s="274"/>
      <c r="F13" s="274"/>
      <c r="G13" s="274"/>
      <c r="H13" s="274"/>
      <c r="I13" s="274"/>
      <c r="J13" s="274"/>
    </row>
    <row r="14" spans="1:10">
      <c r="A14" s="274" t="s">
        <v>1017</v>
      </c>
      <c r="B14" s="356">
        <f>'6. HWB Supporting Metrics'!D13</f>
        <v>260000</v>
      </c>
      <c r="C14" s="274"/>
      <c r="D14" s="274"/>
      <c r="E14" s="274"/>
      <c r="F14" s="274"/>
      <c r="G14" s="274"/>
      <c r="H14" s="274"/>
      <c r="I14" s="274"/>
      <c r="J14" s="274"/>
    </row>
    <row r="15" spans="1:10">
      <c r="A15" s="274" t="s">
        <v>1018</v>
      </c>
      <c r="B15" s="356">
        <f>'6. HWB Supporting Metrics'!E11</f>
        <v>-10</v>
      </c>
      <c r="C15" s="274"/>
      <c r="D15" s="274"/>
      <c r="E15" s="274"/>
      <c r="F15" s="274"/>
      <c r="G15" s="274"/>
      <c r="H15" s="274"/>
      <c r="I15" s="274"/>
      <c r="J15" s="274"/>
    </row>
    <row r="16" spans="1:10">
      <c r="A16" s="274" t="s">
        <v>1019</v>
      </c>
      <c r="B16" s="356">
        <f>'6. HWB Supporting Metrics'!E12</f>
        <v>-3.5714285714285698E-2</v>
      </c>
      <c r="C16" s="357"/>
      <c r="D16" s="274"/>
      <c r="E16" s="274"/>
      <c r="F16" s="274"/>
      <c r="G16" s="274"/>
      <c r="H16" s="274"/>
      <c r="I16" s="274"/>
      <c r="J16" s="274"/>
    </row>
    <row r="17" spans="1:10">
      <c r="A17" s="274" t="s">
        <v>1020</v>
      </c>
      <c r="B17" s="356">
        <f>'6. HWB Supporting Metrics'!E13</f>
        <v>260000</v>
      </c>
      <c r="C17" s="274"/>
      <c r="D17" s="274"/>
      <c r="E17" s="274"/>
      <c r="F17" s="274"/>
      <c r="G17" s="274"/>
      <c r="H17" s="274"/>
      <c r="I17" s="274"/>
      <c r="J17" s="274"/>
    </row>
    <row r="18" spans="1:10">
      <c r="A18" s="274" t="s">
        <v>1021</v>
      </c>
      <c r="B18" s="356">
        <f>'6. HWB Supporting Metrics'!G13</f>
        <v>25950</v>
      </c>
      <c r="C18" s="274"/>
      <c r="D18" s="274"/>
      <c r="E18" s="274"/>
      <c r="F18" s="274"/>
      <c r="G18" s="274"/>
      <c r="H18" s="274"/>
      <c r="I18" s="274"/>
      <c r="J18" s="274"/>
    </row>
    <row r="19" spans="1:10">
      <c r="A19" s="274" t="s">
        <v>1022</v>
      </c>
      <c r="B19" s="356">
        <f>'7. Metric trends'!G44</f>
        <v>345.94019165833356</v>
      </c>
      <c r="C19" s="274"/>
      <c r="D19" s="274"/>
      <c r="E19" s="274"/>
      <c r="F19" s="274"/>
      <c r="G19" s="274"/>
      <c r="H19" s="274"/>
      <c r="I19" s="274"/>
      <c r="J19" s="274"/>
    </row>
    <row r="20" spans="1:10">
      <c r="A20" s="274" t="s">
        <v>1023</v>
      </c>
      <c r="B20" s="356">
        <f>'7. Metric trends'!G45</f>
        <v>39438.365000000013</v>
      </c>
      <c r="C20" s="274"/>
      <c r="D20" s="274"/>
      <c r="E20" s="274"/>
      <c r="F20" s="274"/>
      <c r="G20" s="274"/>
      <c r="H20" s="274"/>
      <c r="I20" s="274"/>
      <c r="J20" s="274"/>
    </row>
    <row r="21" spans="1:10">
      <c r="A21" s="274" t="s">
        <v>1024</v>
      </c>
      <c r="B21" s="356">
        <f>'7. Metric trends'!G43</f>
        <v>877.16666666666686</v>
      </c>
      <c r="C21" s="274"/>
      <c r="D21" s="274"/>
      <c r="E21" s="274"/>
      <c r="F21" s="274"/>
      <c r="G21" s="274"/>
      <c r="H21" s="274"/>
      <c r="I21" s="274"/>
      <c r="J21" s="274"/>
    </row>
    <row r="22" spans="1:10">
      <c r="A22" s="274" t="s">
        <v>1025</v>
      </c>
      <c r="B22" s="356">
        <f>'7. Metric trends'!H44</f>
        <v>389.7405595190001</v>
      </c>
      <c r="C22" s="274"/>
      <c r="D22" s="274"/>
      <c r="E22" s="274"/>
      <c r="F22" s="274"/>
      <c r="G22" s="274"/>
      <c r="H22" s="274"/>
      <c r="I22" s="274"/>
      <c r="J22" s="274"/>
    </row>
    <row r="23" spans="1:10">
      <c r="A23" s="274" t="s">
        <v>1026</v>
      </c>
      <c r="B23" s="356">
        <f>'7. Metric trends'!H45</f>
        <v>40216.061999999998</v>
      </c>
      <c r="C23" s="274"/>
      <c r="D23" s="274"/>
      <c r="E23" s="274"/>
      <c r="F23" s="274"/>
      <c r="G23" s="274"/>
      <c r="H23" s="274"/>
      <c r="I23" s="274"/>
      <c r="J23" s="274"/>
    </row>
    <row r="24" spans="1:10">
      <c r="A24" s="274" t="s">
        <v>1027</v>
      </c>
      <c r="B24" s="356">
        <f>'7. Metric trends'!H43</f>
        <v>969.1166666666669</v>
      </c>
      <c r="C24" s="274"/>
      <c r="D24" s="274"/>
      <c r="E24" s="274"/>
      <c r="F24" s="274"/>
      <c r="G24" s="274"/>
      <c r="H24" s="274"/>
      <c r="I24" s="274"/>
      <c r="J24" s="274"/>
    </row>
    <row r="25" spans="1:10">
      <c r="A25" s="274" t="s">
        <v>1028</v>
      </c>
      <c r="B25" s="356">
        <f>'6. HWB Supporting Metrics'!C19</f>
        <v>200</v>
      </c>
      <c r="C25" s="274"/>
      <c r="D25" s="274"/>
      <c r="E25" s="274"/>
      <c r="F25" s="274"/>
      <c r="G25" s="274"/>
      <c r="H25" s="274"/>
      <c r="I25" s="274"/>
      <c r="J25" s="274"/>
    </row>
    <row r="26" spans="1:10">
      <c r="A26" s="274" t="s">
        <v>1029</v>
      </c>
      <c r="B26" s="356">
        <f>'6. HWB Supporting Metrics'!C20</f>
        <v>230</v>
      </c>
      <c r="C26" s="274"/>
      <c r="D26" s="274"/>
      <c r="E26" s="274"/>
      <c r="F26" s="274"/>
      <c r="G26" s="274"/>
      <c r="H26" s="274"/>
      <c r="I26" s="274"/>
      <c r="J26" s="274"/>
    </row>
    <row r="27" spans="1:10">
      <c r="A27" s="274" t="s">
        <v>1030</v>
      </c>
      <c r="B27" s="356">
        <f>'6. HWB Supporting Metrics'!C18</f>
        <v>87</v>
      </c>
      <c r="C27" s="274"/>
      <c r="D27" s="274"/>
      <c r="E27" s="274"/>
      <c r="F27" s="274"/>
      <c r="G27" s="274"/>
      <c r="H27" s="274"/>
      <c r="I27" s="274"/>
      <c r="J27" s="274"/>
    </row>
    <row r="28" spans="1:10">
      <c r="A28" s="274" t="s">
        <v>1031</v>
      </c>
      <c r="B28" s="356">
        <f>'6. HWB Supporting Metrics'!D19</f>
        <v>231</v>
      </c>
      <c r="C28" s="274"/>
      <c r="D28" s="274"/>
      <c r="E28" s="274"/>
      <c r="F28" s="274"/>
      <c r="G28" s="274"/>
      <c r="H28" s="274"/>
      <c r="I28" s="274"/>
      <c r="J28" s="274"/>
    </row>
    <row r="29" spans="1:10">
      <c r="A29" s="274" t="s">
        <v>1032</v>
      </c>
      <c r="B29" s="356">
        <f>'6. HWB Supporting Metrics'!D20</f>
        <v>260</v>
      </c>
      <c r="C29" s="274"/>
      <c r="D29" s="274"/>
      <c r="E29" s="274"/>
      <c r="F29" s="274"/>
      <c r="G29" s="274"/>
      <c r="H29" s="274"/>
      <c r="I29" s="274"/>
      <c r="J29" s="274"/>
    </row>
    <row r="30" spans="1:10">
      <c r="A30" s="274" t="s">
        <v>1033</v>
      </c>
      <c r="B30" s="356">
        <f>'6. HWB Supporting Metrics'!D18</f>
        <v>88.84615384615384</v>
      </c>
      <c r="C30" s="274"/>
      <c r="D30" s="274"/>
      <c r="E30" s="274"/>
      <c r="F30" s="274"/>
      <c r="G30" s="274"/>
      <c r="H30" s="274"/>
      <c r="I30" s="274"/>
      <c r="J30" s="274"/>
    </row>
    <row r="31" spans="1:10">
      <c r="A31" s="274" t="s">
        <v>1034</v>
      </c>
      <c r="B31" s="356">
        <f>'6. HWB Supporting Metrics'!E19</f>
        <v>252</v>
      </c>
      <c r="C31" s="274"/>
      <c r="D31" s="274"/>
      <c r="E31" s="274"/>
      <c r="F31" s="274"/>
      <c r="G31" s="274"/>
      <c r="H31" s="274"/>
      <c r="I31" s="274"/>
      <c r="J31" s="274"/>
    </row>
    <row r="32" spans="1:10">
      <c r="A32" s="274" t="s">
        <v>1035</v>
      </c>
      <c r="B32" s="356">
        <f>'6. HWB Supporting Metrics'!E20</f>
        <v>280</v>
      </c>
      <c r="C32" s="274"/>
      <c r="D32" s="274"/>
      <c r="E32" s="274"/>
      <c r="F32" s="274"/>
      <c r="G32" s="274"/>
      <c r="H32" s="274"/>
      <c r="I32" s="274"/>
      <c r="J32" s="274"/>
    </row>
    <row r="33" spans="1:10" ht="16.55" customHeight="1">
      <c r="A33" s="274" t="s">
        <v>1036</v>
      </c>
      <c r="B33" s="356">
        <f>'6. HWB Supporting Metrics'!E18</f>
        <v>90</v>
      </c>
      <c r="C33" s="274"/>
      <c r="D33" s="274"/>
      <c r="E33" s="274"/>
      <c r="F33" s="274"/>
      <c r="G33" s="274"/>
      <c r="H33" s="274"/>
      <c r="I33" s="274"/>
      <c r="J33" s="274"/>
    </row>
    <row r="34" spans="1:10" ht="16.55" customHeight="1">
      <c r="A34" s="274" t="s">
        <v>1037</v>
      </c>
      <c r="B34" s="356">
        <f>'6. HWB Supporting Metrics'!H18</f>
        <v>0</v>
      </c>
      <c r="C34" s="274"/>
      <c r="D34" s="274"/>
      <c r="E34" s="274"/>
      <c r="F34" s="274"/>
      <c r="G34" s="274"/>
      <c r="H34" s="274"/>
      <c r="I34" s="274"/>
      <c r="J34" s="274"/>
    </row>
    <row r="35" spans="1:10" ht="16.55" customHeight="1">
      <c r="A35" s="274" t="s">
        <v>1038</v>
      </c>
      <c r="B35" s="356">
        <f>'6. HWB Supporting Metrics'!H20</f>
        <v>0</v>
      </c>
      <c r="C35" s="274"/>
      <c r="D35" s="274"/>
      <c r="E35" s="274"/>
      <c r="F35" s="274"/>
      <c r="G35" s="274"/>
      <c r="H35" s="274"/>
      <c r="I35" s="274"/>
      <c r="J35" s="274"/>
    </row>
    <row r="36" spans="1:10">
      <c r="A36" s="274" t="s">
        <v>1039</v>
      </c>
      <c r="B36" s="356">
        <f>'6. HWB Supporting Metrics'!D21</f>
        <v>1.8461538461538396</v>
      </c>
      <c r="C36" s="274"/>
      <c r="D36" s="274"/>
      <c r="E36" s="274"/>
      <c r="F36" s="274"/>
      <c r="G36" s="274"/>
      <c r="H36" s="274"/>
      <c r="I36" s="274"/>
      <c r="J36" s="274"/>
    </row>
    <row r="37" spans="1:10">
      <c r="A37" s="274" t="s">
        <v>1040</v>
      </c>
      <c r="B37" s="358">
        <f>'6. HWB Supporting Metrics'!D22</f>
        <v>2.1220159151193574E-2</v>
      </c>
      <c r="C37" s="274"/>
      <c r="D37" s="274"/>
      <c r="E37" s="274"/>
      <c r="F37" s="274"/>
      <c r="G37" s="274"/>
      <c r="H37" s="274"/>
      <c r="I37" s="274"/>
      <c r="J37" s="274"/>
    </row>
    <row r="38" spans="1:10">
      <c r="A38" s="274" t="s">
        <v>1041</v>
      </c>
      <c r="B38" s="356">
        <f>'6. HWB Supporting Metrics'!D23</f>
        <v>0</v>
      </c>
      <c r="C38" s="274"/>
      <c r="D38" s="274"/>
      <c r="E38" s="274"/>
      <c r="F38" s="274"/>
      <c r="G38" s="274"/>
      <c r="H38" s="274"/>
      <c r="I38" s="274"/>
      <c r="J38" s="274"/>
    </row>
    <row r="39" spans="1:10" ht="16.55" customHeight="1">
      <c r="A39" s="274" t="s">
        <v>1042</v>
      </c>
      <c r="B39" s="356">
        <f>'6. HWB Supporting Metrics'!E21</f>
        <v>1.1538461538461604</v>
      </c>
      <c r="C39" s="274"/>
      <c r="D39" s="274"/>
      <c r="E39" s="274"/>
      <c r="F39" s="274"/>
      <c r="G39" s="274"/>
      <c r="H39" s="274"/>
      <c r="I39" s="274"/>
      <c r="J39" s="274"/>
    </row>
    <row r="40" spans="1:10" ht="16.55" customHeight="1">
      <c r="A40" s="274" t="s">
        <v>1043</v>
      </c>
      <c r="B40" s="358">
        <f>'6. HWB Supporting Metrics'!E22</f>
        <v>1.2987012987013102E-2</v>
      </c>
      <c r="C40" s="274"/>
      <c r="D40" s="274"/>
      <c r="E40" s="274"/>
      <c r="F40" s="274"/>
      <c r="G40" s="274"/>
      <c r="H40" s="274"/>
      <c r="I40" s="274"/>
      <c r="J40" s="274"/>
    </row>
    <row r="41" spans="1:10" ht="16.55" customHeight="1">
      <c r="A41" s="274" t="s">
        <v>1044</v>
      </c>
      <c r="B41" s="356">
        <f>'6. HWB Supporting Metrics'!E23</f>
        <v>0</v>
      </c>
      <c r="C41" s="274"/>
      <c r="D41" s="274"/>
      <c r="E41" s="274"/>
      <c r="F41" s="274"/>
      <c r="G41" s="274"/>
      <c r="H41" s="274"/>
      <c r="I41" s="274"/>
      <c r="J41" s="274"/>
    </row>
    <row r="42" spans="1:10" ht="16.55" customHeight="1">
      <c r="A42" s="274" t="s">
        <v>1045</v>
      </c>
      <c r="B42" s="356">
        <f>'6. HWB Supporting Metrics'!G23</f>
        <v>0</v>
      </c>
      <c r="C42" s="274"/>
      <c r="D42" s="274"/>
      <c r="E42" s="274"/>
      <c r="F42" s="274"/>
      <c r="G42" s="274"/>
      <c r="H42" s="274"/>
      <c r="I42" s="274"/>
      <c r="J42" s="274"/>
    </row>
    <row r="43" spans="1:10" ht="16.55" customHeight="1">
      <c r="A43" s="274" t="s">
        <v>1046</v>
      </c>
      <c r="B43" s="356">
        <f>'7. Metric trends'!G67</f>
        <v>212.13666666666666</v>
      </c>
      <c r="C43" s="274"/>
      <c r="D43" s="274"/>
      <c r="E43" s="274"/>
      <c r="F43" s="274"/>
      <c r="G43" s="274"/>
      <c r="H43" s="274"/>
      <c r="I43" s="274"/>
      <c r="J43" s="274"/>
    </row>
    <row r="44" spans="1:10" ht="16.55" customHeight="1">
      <c r="A44" s="274" t="s">
        <v>1047</v>
      </c>
      <c r="B44" s="356">
        <f>'7. Metric trends'!G68</f>
        <v>230</v>
      </c>
      <c r="C44" s="274"/>
      <c r="D44" s="274"/>
      <c r="E44" s="274"/>
      <c r="F44" s="274"/>
      <c r="G44" s="274"/>
      <c r="H44" s="274"/>
      <c r="I44" s="274"/>
      <c r="J44" s="274"/>
    </row>
    <row r="45" spans="1:10" ht="16.55" customHeight="1">
      <c r="A45" s="274" t="s">
        <v>1048</v>
      </c>
      <c r="B45" s="356">
        <f>'7. Metric trends'!G66</f>
        <v>92.233333333333334</v>
      </c>
      <c r="C45" s="274"/>
      <c r="D45" s="274"/>
      <c r="E45" s="274"/>
      <c r="F45" s="274"/>
      <c r="G45" s="274"/>
      <c r="H45" s="274"/>
      <c r="I45" s="274"/>
      <c r="J45" s="274"/>
    </row>
    <row r="46" spans="1:10" ht="16.55" customHeight="1">
      <c r="A46" s="274" t="s">
        <v>1049</v>
      </c>
      <c r="B46" s="356">
        <f>'7. Metric trends'!H67</f>
        <v>223.40666666666667</v>
      </c>
      <c r="C46" s="274"/>
      <c r="D46" s="274"/>
      <c r="E46" s="274"/>
      <c r="F46" s="274"/>
      <c r="G46" s="274"/>
      <c r="H46" s="274"/>
      <c r="I46" s="274"/>
      <c r="J46" s="274"/>
    </row>
    <row r="47" spans="1:10" ht="16.55" customHeight="1">
      <c r="A47" s="274" t="s">
        <v>1050</v>
      </c>
      <c r="B47" s="356">
        <f>'7. Metric trends'!H68</f>
        <v>230</v>
      </c>
      <c r="C47" s="274"/>
      <c r="D47" s="274"/>
      <c r="E47" s="274"/>
      <c r="F47" s="274"/>
      <c r="G47" s="274"/>
      <c r="H47" s="274"/>
      <c r="I47" s="274"/>
      <c r="J47" s="274"/>
    </row>
    <row r="48" spans="1:10" ht="16.55" customHeight="1">
      <c r="A48" s="274" t="s">
        <v>1051</v>
      </c>
      <c r="B48" s="356">
        <f>'7. Metric trends'!H66</f>
        <v>97.133333333333326</v>
      </c>
      <c r="C48" s="274"/>
      <c r="D48" s="274"/>
      <c r="E48" s="274"/>
      <c r="F48" s="274"/>
      <c r="G48" s="274"/>
      <c r="H48" s="274"/>
      <c r="I48" s="274"/>
      <c r="J48" s="274"/>
    </row>
    <row r="49" spans="1:10">
      <c r="A49" s="274" t="s">
        <v>1052</v>
      </c>
      <c r="B49" s="356">
        <f>'6. HWB Supporting Metrics'!C30</f>
        <v>3538</v>
      </c>
      <c r="C49" s="274"/>
      <c r="D49" s="274"/>
      <c r="E49" s="274"/>
      <c r="F49" s="274"/>
      <c r="G49" s="274"/>
      <c r="H49" s="274"/>
      <c r="I49" s="274"/>
      <c r="J49" s="274"/>
    </row>
    <row r="50" spans="1:10">
      <c r="A50" s="274" t="s">
        <v>1053</v>
      </c>
      <c r="B50" s="356">
        <f>'6. HWB Supporting Metrics'!C31</f>
        <v>254324</v>
      </c>
      <c r="C50" s="274"/>
      <c r="D50" s="274"/>
      <c r="E50" s="274"/>
      <c r="F50" s="274"/>
      <c r="G50" s="274"/>
      <c r="H50" s="274"/>
      <c r="I50" s="274"/>
      <c r="J50" s="274"/>
    </row>
    <row r="51" spans="1:10">
      <c r="A51" s="274" t="s">
        <v>1054</v>
      </c>
      <c r="B51" s="356">
        <f>'6. HWB Supporting Metrics'!C29</f>
        <v>1391.138862238719</v>
      </c>
      <c r="C51" s="274"/>
      <c r="D51" s="274"/>
      <c r="E51" s="274"/>
      <c r="F51" s="274"/>
      <c r="G51" s="274"/>
      <c r="H51" s="274"/>
      <c r="I51" s="274"/>
      <c r="J51" s="274"/>
    </row>
    <row r="52" spans="1:10">
      <c r="A52" s="274" t="s">
        <v>1055</v>
      </c>
      <c r="B52" s="356">
        <f>'6. HWB Supporting Metrics'!D30</f>
        <v>3737</v>
      </c>
      <c r="C52" s="274"/>
      <c r="D52" s="274"/>
      <c r="E52" s="274"/>
      <c r="F52" s="274"/>
      <c r="G52" s="274"/>
      <c r="H52" s="274"/>
      <c r="I52" s="274"/>
      <c r="J52" s="274"/>
    </row>
    <row r="53" spans="1:10">
      <c r="A53" s="274" t="s">
        <v>1056</v>
      </c>
      <c r="B53" s="356">
        <f>'6. HWB Supporting Metrics'!D31</f>
        <v>254324</v>
      </c>
      <c r="C53" s="274"/>
      <c r="D53" s="274"/>
      <c r="E53" s="274"/>
      <c r="F53" s="274"/>
      <c r="G53" s="274"/>
      <c r="H53" s="274"/>
      <c r="I53" s="274"/>
      <c r="J53" s="274"/>
    </row>
    <row r="54" spans="1:10">
      <c r="A54" s="274" t="s">
        <v>1057</v>
      </c>
      <c r="B54" s="356">
        <f>'6. HWB Supporting Metrics'!D29</f>
        <v>1469.3855082493199</v>
      </c>
      <c r="C54" s="274"/>
      <c r="D54" s="274"/>
      <c r="E54" s="274"/>
      <c r="F54" s="274"/>
      <c r="G54" s="274"/>
      <c r="H54" s="274"/>
      <c r="I54" s="274"/>
      <c r="J54" s="274"/>
    </row>
    <row r="55" spans="1:10">
      <c r="A55" s="274" t="s">
        <v>1058</v>
      </c>
      <c r="B55" s="356">
        <f>'6. HWB Supporting Metrics'!E30</f>
        <v>2997</v>
      </c>
      <c r="C55" s="274"/>
      <c r="D55" s="274"/>
      <c r="E55" s="274"/>
      <c r="F55" s="274"/>
      <c r="G55" s="274"/>
      <c r="H55" s="274"/>
      <c r="I55" s="274"/>
      <c r="J55" s="274"/>
    </row>
    <row r="56" spans="1:10">
      <c r="A56" s="274" t="s">
        <v>1059</v>
      </c>
      <c r="B56" s="356">
        <f>'6. HWB Supporting Metrics'!E31</f>
        <v>254324</v>
      </c>
      <c r="C56" s="274"/>
      <c r="D56" s="274"/>
      <c r="E56" s="274"/>
      <c r="F56" s="274"/>
      <c r="G56" s="274"/>
      <c r="H56" s="274"/>
      <c r="I56" s="274"/>
      <c r="J56" s="274"/>
    </row>
    <row r="57" spans="1:10">
      <c r="A57" s="274" t="s">
        <v>1060</v>
      </c>
      <c r="B57" s="356">
        <f>'6. HWB Supporting Metrics'!E29</f>
        <v>1178.4180808732167</v>
      </c>
      <c r="C57" s="274"/>
      <c r="D57" s="274"/>
      <c r="E57" s="274"/>
      <c r="F57" s="274"/>
      <c r="G57" s="274"/>
      <c r="H57" s="274"/>
      <c r="I57" s="274"/>
      <c r="J57" s="274"/>
    </row>
    <row r="58" spans="1:10">
      <c r="A58" s="274" t="s">
        <v>1061</v>
      </c>
      <c r="B58" s="356">
        <f>'6. HWB Supporting Metrics'!F30</f>
        <v>3454</v>
      </c>
      <c r="C58" s="274"/>
      <c r="D58" s="274"/>
      <c r="E58" s="274"/>
      <c r="F58" s="274"/>
      <c r="G58" s="274"/>
      <c r="H58" s="274"/>
      <c r="I58" s="274"/>
      <c r="J58" s="274"/>
    </row>
    <row r="59" spans="1:10">
      <c r="A59" s="274" t="s">
        <v>1062</v>
      </c>
      <c r="B59" s="356">
        <f>'6. HWB Supporting Metrics'!F31</f>
        <v>256128.31200000003</v>
      </c>
      <c r="C59" s="274"/>
      <c r="D59" s="274"/>
      <c r="E59" s="274"/>
      <c r="F59" s="274"/>
      <c r="G59" s="274"/>
      <c r="H59" s="274"/>
      <c r="I59" s="274"/>
      <c r="J59" s="274"/>
    </row>
    <row r="60" spans="1:10">
      <c r="A60" s="274" t="s">
        <v>1063</v>
      </c>
      <c r="B60" s="356">
        <f>'6. HWB Supporting Metrics'!F29</f>
        <v>1348.5428350458967</v>
      </c>
      <c r="C60" s="274"/>
      <c r="D60" s="274"/>
      <c r="E60" s="274"/>
      <c r="F60" s="274"/>
      <c r="G60" s="274"/>
      <c r="H60" s="274"/>
      <c r="I60" s="274"/>
      <c r="J60" s="274"/>
    </row>
    <row r="61" spans="1:10">
      <c r="A61" s="274" t="s">
        <v>1064</v>
      </c>
      <c r="B61" s="356">
        <f>'6. HWB Supporting Metrics'!G30</f>
        <v>3102</v>
      </c>
      <c r="C61" s="274"/>
      <c r="D61" s="274"/>
      <c r="E61" s="274"/>
      <c r="F61" s="274"/>
      <c r="G61" s="274"/>
      <c r="H61" s="274"/>
      <c r="I61" s="274"/>
      <c r="J61" s="274"/>
    </row>
    <row r="62" spans="1:10">
      <c r="A62" s="274" t="s">
        <v>1065</v>
      </c>
      <c r="B62" s="356">
        <f>'6. HWB Supporting Metrics'!G31</f>
        <v>256128.31200000003</v>
      </c>
      <c r="C62" s="274"/>
      <c r="D62" s="274"/>
      <c r="E62" s="274"/>
      <c r="F62" s="274"/>
      <c r="G62" s="274"/>
      <c r="H62" s="274"/>
      <c r="I62" s="274"/>
      <c r="J62" s="274"/>
    </row>
    <row r="63" spans="1:10">
      <c r="A63" s="274" t="s">
        <v>1066</v>
      </c>
      <c r="B63" s="356">
        <f>'6. HWB Supporting Metrics'!G29</f>
        <v>1211.1117180985441</v>
      </c>
      <c r="C63" s="274"/>
      <c r="D63" s="274"/>
      <c r="E63" s="274"/>
      <c r="F63" s="274"/>
      <c r="G63" s="274"/>
      <c r="H63" s="274"/>
      <c r="I63" s="274"/>
      <c r="J63" s="274"/>
    </row>
    <row r="64" spans="1:10">
      <c r="A64" s="274" t="s">
        <v>1067</v>
      </c>
      <c r="B64" s="356">
        <f>'6. HWB Supporting Metrics'!H30</f>
        <v>3495.7802710185047</v>
      </c>
      <c r="C64" s="274"/>
      <c r="D64" s="274"/>
      <c r="E64" s="274"/>
      <c r="F64" s="274"/>
      <c r="G64" s="274"/>
      <c r="H64" s="274"/>
      <c r="I64" s="274"/>
      <c r="J64" s="274"/>
    </row>
    <row r="65" spans="1:10">
      <c r="A65" s="274" t="s">
        <v>1068</v>
      </c>
      <c r="B65" s="356">
        <f>'6. HWB Supporting Metrics'!H31</f>
        <v>256128.31200000003</v>
      </c>
      <c r="C65" s="274"/>
      <c r="D65" s="274"/>
      <c r="E65" s="274"/>
      <c r="F65" s="274"/>
      <c r="G65" s="274"/>
      <c r="H65" s="274"/>
      <c r="I65" s="274"/>
      <c r="J65" s="274"/>
    </row>
    <row r="66" spans="1:10">
      <c r="A66" s="274" t="s">
        <v>1069</v>
      </c>
      <c r="B66" s="356">
        <f>'6. HWB Supporting Metrics'!H29</f>
        <v>1364.8550774107723</v>
      </c>
      <c r="C66" s="274"/>
      <c r="D66" s="274"/>
      <c r="E66" s="274"/>
      <c r="F66" s="274"/>
      <c r="G66" s="274"/>
      <c r="H66" s="274"/>
      <c r="I66" s="274"/>
      <c r="J66" s="274"/>
    </row>
    <row r="67" spans="1:10">
      <c r="A67" s="359" t="s">
        <v>1071</v>
      </c>
      <c r="B67" s="356">
        <f>'6. HWB Supporting Metrics'!I30</f>
        <v>2803.546553985138</v>
      </c>
      <c r="C67" s="274"/>
      <c r="D67" s="274"/>
      <c r="E67" s="274"/>
      <c r="F67" s="274"/>
      <c r="G67" s="274"/>
      <c r="H67" s="274"/>
      <c r="I67" s="274"/>
      <c r="J67" s="274"/>
    </row>
    <row r="68" spans="1:10">
      <c r="A68" s="274" t="s">
        <v>1070</v>
      </c>
      <c r="B68" s="356">
        <f>'6. HWB Supporting Metrics'!I31</f>
        <v>256128.31200000003</v>
      </c>
      <c r="C68" s="274"/>
      <c r="D68" s="274"/>
      <c r="E68" s="274"/>
      <c r="F68" s="274"/>
      <c r="G68" s="274"/>
      <c r="H68" s="274"/>
      <c r="I68" s="274"/>
      <c r="J68" s="274"/>
    </row>
    <row r="69" spans="1:10">
      <c r="A69" s="274" t="s">
        <v>1071</v>
      </c>
      <c r="B69" s="356">
        <f>'6. HWB Supporting Metrics'!I29</f>
        <v>1094.5867452502234</v>
      </c>
      <c r="C69" s="274"/>
      <c r="D69" s="274"/>
      <c r="E69" s="274"/>
      <c r="F69" s="274"/>
      <c r="G69" s="274"/>
      <c r="H69" s="274"/>
      <c r="I69" s="274"/>
      <c r="J69" s="274"/>
    </row>
    <row r="70" spans="1:10">
      <c r="A70" s="274" t="s">
        <v>1072</v>
      </c>
      <c r="B70" s="356">
        <f>'6. HWB Supporting Metrics'!J30</f>
        <v>3231.0476468016905</v>
      </c>
      <c r="C70" s="274"/>
      <c r="D70" s="274"/>
      <c r="E70" s="274"/>
      <c r="F70" s="274"/>
      <c r="G70" s="274"/>
      <c r="H70" s="274"/>
      <c r="I70" s="274"/>
      <c r="J70" s="274"/>
    </row>
    <row r="71" spans="1:10">
      <c r="A71" s="274" t="s">
        <v>1073</v>
      </c>
      <c r="B71" s="356">
        <f>'6. HWB Supporting Metrics'!J31</f>
        <v>257793.01699999999</v>
      </c>
      <c r="C71" s="274"/>
      <c r="D71" s="274"/>
      <c r="E71" s="274"/>
      <c r="F71" s="274"/>
      <c r="G71" s="274"/>
      <c r="H71" s="274"/>
      <c r="I71" s="274"/>
      <c r="J71" s="274"/>
    </row>
    <row r="72" spans="1:10">
      <c r="A72" s="274" t="s">
        <v>1074</v>
      </c>
      <c r="B72" s="356">
        <f>'6. HWB Supporting Metrics'!J29</f>
        <v>1253.3495609780969</v>
      </c>
      <c r="C72" s="274"/>
      <c r="D72" s="274"/>
      <c r="E72" s="274"/>
      <c r="F72" s="274"/>
      <c r="G72" s="274"/>
      <c r="H72" s="274"/>
      <c r="I72" s="274"/>
      <c r="J72" s="274"/>
    </row>
    <row r="73" spans="1:10">
      <c r="A73" s="274" t="s">
        <v>1075</v>
      </c>
      <c r="B73" s="356">
        <f>'6. HWB Supporting Metrics'!K30</f>
        <v>3010</v>
      </c>
      <c r="C73" s="274"/>
      <c r="D73" s="274"/>
      <c r="E73" s="274"/>
      <c r="F73" s="274"/>
      <c r="G73" s="274"/>
      <c r="H73" s="274"/>
      <c r="I73" s="274"/>
      <c r="J73" s="274"/>
    </row>
    <row r="74" spans="1:10">
      <c r="A74" s="274" t="s">
        <v>1076</v>
      </c>
      <c r="B74" s="356">
        <f>'6. HWB Supporting Metrics'!K31</f>
        <v>257793.01699999999</v>
      </c>
      <c r="C74" s="274"/>
      <c r="D74" s="274"/>
      <c r="E74" s="274"/>
      <c r="F74" s="274"/>
      <c r="G74" s="274"/>
      <c r="H74" s="274"/>
      <c r="I74" s="274"/>
      <c r="J74" s="274"/>
    </row>
    <row r="75" spans="1:10">
      <c r="A75" s="274" t="s">
        <v>1077</v>
      </c>
      <c r="B75" s="356">
        <f>'6. HWB Supporting Metrics'!K29</f>
        <v>1167.6033877985144</v>
      </c>
      <c r="C75" s="274"/>
      <c r="D75" s="274"/>
      <c r="E75" s="274"/>
      <c r="F75" s="274"/>
      <c r="G75" s="274"/>
      <c r="H75" s="274"/>
      <c r="I75" s="274"/>
      <c r="J75" s="274"/>
    </row>
    <row r="76" spans="1:10">
      <c r="A76" s="274" t="s">
        <v>1078</v>
      </c>
      <c r="B76" s="356">
        <f>'6. HWB Supporting Metrics'!L30</f>
        <v>3389.6000291417745</v>
      </c>
      <c r="C76" s="274"/>
      <c r="D76" s="274"/>
      <c r="E76" s="274"/>
      <c r="F76" s="274"/>
      <c r="G76" s="274"/>
      <c r="H76" s="274"/>
      <c r="I76" s="274"/>
      <c r="J76" s="274"/>
    </row>
    <row r="77" spans="1:10">
      <c r="A77" s="274" t="s">
        <v>1079</v>
      </c>
      <c r="B77" s="356">
        <f>'6. HWB Supporting Metrics'!L31</f>
        <v>257793.01699999999</v>
      </c>
      <c r="C77" s="274"/>
      <c r="D77" s="274"/>
      <c r="E77" s="274"/>
      <c r="F77" s="274"/>
      <c r="G77" s="274"/>
      <c r="H77" s="274"/>
      <c r="I77" s="274"/>
      <c r="J77" s="274"/>
    </row>
    <row r="78" spans="1:10">
      <c r="A78" s="274" t="s">
        <v>1080</v>
      </c>
      <c r="B78" s="356">
        <f>'6. HWB Supporting Metrics'!L29</f>
        <v>1314.8533147202256</v>
      </c>
      <c r="C78" s="274"/>
      <c r="D78" s="274"/>
      <c r="E78" s="274"/>
      <c r="F78" s="274"/>
      <c r="G78" s="274"/>
      <c r="H78" s="274"/>
      <c r="I78" s="274"/>
      <c r="J78" s="274"/>
    </row>
    <row r="79" spans="1:10">
      <c r="A79" s="274" t="s">
        <v>1081</v>
      </c>
      <c r="B79" s="356">
        <f>'6. HWB Supporting Metrics'!M30</f>
        <v>2718.3921025790473</v>
      </c>
      <c r="C79" s="274"/>
      <c r="D79" s="274"/>
      <c r="E79" s="274"/>
      <c r="F79" s="274"/>
      <c r="G79" s="274"/>
      <c r="H79" s="274"/>
      <c r="I79" s="274"/>
      <c r="J79" s="274"/>
    </row>
    <row r="80" spans="1:10">
      <c r="A80" s="274" t="s">
        <v>1082</v>
      </c>
      <c r="B80" s="356">
        <f>'6. HWB Supporting Metrics'!M31</f>
        <v>257793.01699999999</v>
      </c>
      <c r="C80" s="274"/>
      <c r="D80" s="274"/>
      <c r="E80" s="274"/>
      <c r="F80" s="274"/>
      <c r="G80" s="274"/>
      <c r="H80" s="274"/>
      <c r="I80" s="274"/>
      <c r="J80" s="274"/>
    </row>
    <row r="81" spans="1:10">
      <c r="A81" s="274" t="s">
        <v>1083</v>
      </c>
      <c r="B81" s="356">
        <f>'6. HWB Supporting Metrics'!M29</f>
        <v>1054.4863217063198</v>
      </c>
      <c r="C81" s="274"/>
      <c r="D81" s="274"/>
      <c r="E81" s="274"/>
      <c r="F81" s="274"/>
      <c r="G81" s="274"/>
      <c r="H81" s="274"/>
      <c r="I81" s="274"/>
      <c r="J81" s="274"/>
    </row>
    <row r="82" spans="1:10">
      <c r="A82" s="274" t="s">
        <v>1084</v>
      </c>
      <c r="B82" s="356">
        <f>'6. HWB Supporting Metrics'!N30</f>
        <v>3132.9083491184615</v>
      </c>
      <c r="C82" s="274"/>
      <c r="D82" s="274"/>
      <c r="E82" s="274"/>
      <c r="F82" s="274"/>
      <c r="G82" s="274"/>
      <c r="H82" s="274"/>
      <c r="I82" s="274"/>
      <c r="J82" s="274"/>
    </row>
    <row r="83" spans="1:10">
      <c r="A83" s="274" t="s">
        <v>1085</v>
      </c>
      <c r="B83" s="356">
        <f>'6. HWB Supporting Metrics'!N31</f>
        <v>259335.31399999998</v>
      </c>
      <c r="C83" s="274"/>
      <c r="D83" s="274"/>
      <c r="E83" s="274"/>
      <c r="F83" s="274"/>
      <c r="G83" s="274"/>
      <c r="H83" s="274"/>
      <c r="I83" s="274"/>
      <c r="J83" s="274"/>
    </row>
    <row r="84" spans="1:10">
      <c r="A84" s="274" t="s">
        <v>1086</v>
      </c>
      <c r="B84" s="356">
        <f>'6. HWB Supporting Metrics'!N29</f>
        <v>1208.0531188739153</v>
      </c>
      <c r="C84" s="274"/>
      <c r="D84" s="274"/>
      <c r="E84" s="274"/>
      <c r="F84" s="274"/>
      <c r="G84" s="274"/>
      <c r="H84" s="274"/>
      <c r="I84" s="274"/>
      <c r="J84" s="274"/>
    </row>
    <row r="85" spans="1:10">
      <c r="A85" s="274" t="s">
        <v>1087</v>
      </c>
      <c r="B85" s="356">
        <f>'6. HWB Supporting Metrics'!R29</f>
        <v>0</v>
      </c>
      <c r="C85" s="274"/>
      <c r="D85" s="274"/>
      <c r="E85" s="274"/>
      <c r="F85" s="274"/>
      <c r="G85" s="274"/>
      <c r="H85" s="274"/>
      <c r="I85" s="274"/>
      <c r="J85" s="274"/>
    </row>
    <row r="86" spans="1:10">
      <c r="A86" s="274" t="s">
        <v>1088</v>
      </c>
      <c r="B86" s="356">
        <f>'6. HWB Supporting Metrics'!J32</f>
        <v>-1093.6255281946687</v>
      </c>
      <c r="C86" s="274"/>
      <c r="D86" s="274"/>
      <c r="E86" s="274"/>
      <c r="F86" s="274"/>
      <c r="G86" s="274"/>
      <c r="H86" s="274"/>
      <c r="I86" s="274"/>
      <c r="J86" s="274"/>
    </row>
    <row r="87" spans="1:10">
      <c r="A87" s="274" t="s">
        <v>1089</v>
      </c>
      <c r="B87" s="356">
        <f>'6. HWB Supporting Metrics'!J33</f>
        <v>-7.9675471965224287E-2</v>
      </c>
      <c r="C87" s="274"/>
      <c r="D87" s="274"/>
      <c r="E87" s="274"/>
      <c r="F87" s="274"/>
      <c r="G87" s="274"/>
      <c r="H87" s="274"/>
      <c r="I87" s="274"/>
      <c r="J87" s="274"/>
    </row>
    <row r="88" spans="1:10">
      <c r="A88" s="274" t="s">
        <v>1090</v>
      </c>
      <c r="B88" s="356">
        <f>'6. HWB Supporting Metrics'!J34</f>
        <v>301000</v>
      </c>
      <c r="C88" s="274"/>
      <c r="D88" s="274"/>
      <c r="E88" s="274"/>
      <c r="F88" s="274"/>
      <c r="G88" s="274"/>
      <c r="H88" s="274"/>
      <c r="I88" s="274"/>
      <c r="J88" s="274"/>
    </row>
    <row r="89" spans="1:10">
      <c r="A89" s="274" t="s">
        <v>1091</v>
      </c>
      <c r="B89" s="356">
        <f>'6. HWB Supporting Metrics'!N32</f>
        <v>-381.4739909660475</v>
      </c>
      <c r="C89" s="274"/>
      <c r="D89" s="274"/>
      <c r="E89" s="274"/>
      <c r="F89" s="274"/>
      <c r="G89" s="274"/>
      <c r="H89" s="274"/>
      <c r="I89" s="274"/>
      <c r="J89" s="274"/>
    </row>
    <row r="90" spans="1:10">
      <c r="A90" s="274" t="s">
        <v>1092</v>
      </c>
      <c r="B90" s="356">
        <f>'6. HWB Supporting Metrics'!N33</f>
        <v>-3.0198122436717934E-2</v>
      </c>
      <c r="C90" s="274"/>
      <c r="D90" s="274"/>
      <c r="E90" s="274"/>
      <c r="F90" s="274"/>
      <c r="G90" s="274"/>
      <c r="H90" s="274"/>
      <c r="I90" s="274"/>
      <c r="J90" s="274"/>
    </row>
    <row r="91" spans="1:10">
      <c r="A91" s="274" t="s">
        <v>1093</v>
      </c>
      <c r="B91" s="356">
        <f>'6. HWB Supporting Metrics'!N34</f>
        <v>105000</v>
      </c>
      <c r="C91" s="274"/>
      <c r="D91" s="274"/>
      <c r="E91" s="274"/>
      <c r="F91" s="274"/>
      <c r="G91" s="274"/>
      <c r="H91" s="274"/>
      <c r="I91" s="274"/>
      <c r="J91" s="274"/>
    </row>
    <row r="92" spans="1:10">
      <c r="A92" s="274" t="s">
        <v>1094</v>
      </c>
      <c r="B92" s="356">
        <f>'6. HWB Supporting Metrics'!P34</f>
        <v>275</v>
      </c>
      <c r="C92" s="274"/>
      <c r="D92" s="274"/>
      <c r="E92" s="274"/>
      <c r="F92" s="274"/>
      <c r="G92" s="274"/>
      <c r="H92" s="274"/>
      <c r="I92" s="274"/>
      <c r="J92" s="274"/>
    </row>
    <row r="93" spans="1:10">
      <c r="A93" s="274" t="s">
        <v>1095</v>
      </c>
      <c r="B93" s="356">
        <f>'7. Metric trends'!D112</f>
        <v>3492.9879492600421</v>
      </c>
      <c r="C93" s="274"/>
      <c r="D93" s="274"/>
      <c r="E93" s="274"/>
      <c r="F93" s="274"/>
      <c r="G93" s="274"/>
      <c r="H93" s="274"/>
      <c r="I93" s="274"/>
      <c r="J93" s="274"/>
    </row>
    <row r="94" spans="1:10">
      <c r="A94" s="274" t="s">
        <v>1096</v>
      </c>
      <c r="B94" s="356">
        <f>'7. Metric trends'!D113</f>
        <v>256128.31200000003</v>
      </c>
      <c r="C94" s="274"/>
      <c r="D94" s="274"/>
      <c r="E94" s="274"/>
      <c r="F94" s="274"/>
      <c r="G94" s="274"/>
      <c r="H94" s="274"/>
      <c r="I94" s="274"/>
      <c r="J94" s="274"/>
    </row>
    <row r="95" spans="1:10">
      <c r="A95" s="274" t="s">
        <v>1097</v>
      </c>
      <c r="B95" s="356">
        <f>'7. Metric trends'!D111</f>
        <v>1363.7648731546872</v>
      </c>
      <c r="C95" s="274"/>
      <c r="D95" s="274"/>
      <c r="E95" s="274"/>
      <c r="F95" s="274"/>
      <c r="G95" s="274"/>
      <c r="H95" s="274"/>
      <c r="I95" s="274"/>
      <c r="J95" s="274"/>
    </row>
    <row r="96" spans="1:10">
      <c r="A96" s="274" t="s">
        <v>1098</v>
      </c>
      <c r="B96" s="356">
        <f>'7. Metric trends'!E112</f>
        <v>3630.4380549682874</v>
      </c>
      <c r="C96" s="274"/>
      <c r="D96" s="274"/>
      <c r="E96" s="274"/>
      <c r="F96" s="274"/>
      <c r="G96" s="274"/>
      <c r="H96" s="274"/>
      <c r="I96" s="274"/>
      <c r="J96" s="274"/>
    </row>
    <row r="97" spans="1:10">
      <c r="A97" s="274" t="s">
        <v>1099</v>
      </c>
      <c r="B97" s="356">
        <f>'7. Metric trends'!E113</f>
        <v>256128.31200000003</v>
      </c>
      <c r="C97" s="274"/>
      <c r="D97" s="274"/>
      <c r="E97" s="274"/>
      <c r="F97" s="274"/>
      <c r="G97" s="274"/>
      <c r="H97" s="274"/>
      <c r="I97" s="274"/>
      <c r="J97" s="274"/>
    </row>
    <row r="98" spans="1:10">
      <c r="A98" s="274" t="s">
        <v>1100</v>
      </c>
      <c r="B98" s="356">
        <f>'7. Metric trends'!E111</f>
        <v>1417.4294230183684</v>
      </c>
      <c r="C98" s="274"/>
      <c r="D98" s="274"/>
      <c r="E98" s="274"/>
      <c r="F98" s="274"/>
      <c r="G98" s="274"/>
      <c r="H98" s="274"/>
      <c r="I98" s="274"/>
      <c r="J98" s="274"/>
    </row>
    <row r="99" spans="1:10">
      <c r="A99" s="274" t="s">
        <v>1101</v>
      </c>
      <c r="B99" s="356">
        <f>'7. Metric trends'!F112</f>
        <v>3767.8881606765326</v>
      </c>
      <c r="C99" s="274"/>
      <c r="D99" s="274"/>
      <c r="E99" s="274"/>
      <c r="F99" s="274"/>
      <c r="G99" s="274"/>
      <c r="H99" s="274"/>
      <c r="I99" s="274"/>
      <c r="J99" s="274"/>
    </row>
    <row r="100" spans="1:10">
      <c r="A100" s="274" t="s">
        <v>1102</v>
      </c>
      <c r="B100" s="356">
        <f>'7. Metric trends'!F113</f>
        <v>256128.31200000003</v>
      </c>
      <c r="C100" s="274"/>
      <c r="D100" s="274"/>
      <c r="E100" s="274"/>
      <c r="F100" s="274"/>
      <c r="G100" s="274"/>
      <c r="H100" s="274"/>
      <c r="I100" s="274"/>
      <c r="J100" s="274"/>
    </row>
    <row r="101" spans="1:10">
      <c r="A101" s="274" t="s">
        <v>1103</v>
      </c>
      <c r="B101" s="356">
        <f>'7. Metric trends'!F111</f>
        <v>1471.0939728820499</v>
      </c>
      <c r="C101" s="274"/>
      <c r="D101" s="274"/>
      <c r="E101" s="274"/>
      <c r="F101" s="274"/>
      <c r="G101" s="274"/>
      <c r="H101" s="274"/>
      <c r="I101" s="274"/>
      <c r="J101" s="274"/>
    </row>
    <row r="102" spans="1:10">
      <c r="A102" s="274" t="s">
        <v>1104</v>
      </c>
      <c r="B102" s="356">
        <f>'7. Metric trends'!G112</f>
        <v>3905.3382663847779</v>
      </c>
      <c r="C102" s="274"/>
      <c r="D102" s="274"/>
      <c r="E102" s="274"/>
      <c r="F102" s="274"/>
      <c r="G102" s="274"/>
      <c r="H102" s="274"/>
      <c r="I102" s="274"/>
      <c r="J102" s="274"/>
    </row>
    <row r="103" spans="1:10">
      <c r="A103" s="274" t="s">
        <v>1105</v>
      </c>
      <c r="B103" s="356">
        <f>'7. Metric trends'!G113</f>
        <v>257793.01699999999</v>
      </c>
      <c r="C103" s="274"/>
      <c r="D103" s="274"/>
      <c r="E103" s="274"/>
      <c r="F103" s="274"/>
      <c r="G103" s="274"/>
      <c r="H103" s="274"/>
      <c r="I103" s="274"/>
      <c r="J103" s="274"/>
    </row>
    <row r="104" spans="1:10">
      <c r="A104" s="274" t="s">
        <v>1106</v>
      </c>
      <c r="B104" s="356">
        <f>'7. Metric trends'!G111</f>
        <v>1514.9123555913766</v>
      </c>
      <c r="C104" s="274"/>
      <c r="D104" s="274"/>
      <c r="E104" s="274"/>
      <c r="F104" s="274"/>
      <c r="G104" s="274"/>
      <c r="H104" s="274"/>
      <c r="I104" s="274"/>
      <c r="J104" s="274"/>
    </row>
    <row r="105" spans="1:10">
      <c r="A105" s="274" t="s">
        <v>1107</v>
      </c>
      <c r="B105" s="356">
        <f>'7. Metric trends'!H112</f>
        <v>4042.7883720930231</v>
      </c>
      <c r="C105" s="274"/>
      <c r="D105" s="274"/>
      <c r="E105" s="274"/>
      <c r="F105" s="274"/>
      <c r="G105" s="274"/>
      <c r="H105" s="274"/>
      <c r="I105" s="274"/>
      <c r="J105" s="274"/>
    </row>
    <row r="106" spans="1:10">
      <c r="A106" s="274" t="s">
        <v>1108</v>
      </c>
      <c r="B106" s="356">
        <f>'7. Metric trends'!H113</f>
        <v>257793.01699999999</v>
      </c>
      <c r="C106" s="274"/>
      <c r="D106" s="274"/>
      <c r="E106" s="274"/>
      <c r="F106" s="274"/>
      <c r="G106" s="274"/>
      <c r="H106" s="274"/>
      <c r="I106" s="274"/>
      <c r="J106" s="274"/>
    </row>
    <row r="107" spans="1:10">
      <c r="A107" s="274" t="s">
        <v>1109</v>
      </c>
      <c r="B107" s="356">
        <f>'7. Metric trends'!H111</f>
        <v>1568.230365251912</v>
      </c>
      <c r="C107" s="274"/>
      <c r="D107" s="274"/>
      <c r="E107" s="274"/>
      <c r="F107" s="274"/>
      <c r="G107" s="274"/>
      <c r="H107" s="274"/>
      <c r="I107" s="274"/>
      <c r="J107" s="274"/>
    </row>
    <row r="108" spans="1:10">
      <c r="A108" s="274" t="s">
        <v>1110</v>
      </c>
      <c r="B108" s="356">
        <f>'7. Metric trends'!I112</f>
        <v>4180.2384778012683</v>
      </c>
      <c r="C108" s="274"/>
      <c r="D108" s="274"/>
      <c r="E108" s="274"/>
      <c r="F108" s="274"/>
      <c r="G108" s="274"/>
      <c r="H108" s="274"/>
      <c r="I108" s="274"/>
      <c r="J108" s="274"/>
    </row>
    <row r="109" spans="1:10">
      <c r="A109" s="274" t="s">
        <v>1111</v>
      </c>
      <c r="B109" s="356">
        <f>'7. Metric trends'!I113</f>
        <v>257793.01699999999</v>
      </c>
      <c r="C109" s="274"/>
      <c r="D109" s="274"/>
      <c r="E109" s="274"/>
      <c r="F109" s="274"/>
      <c r="G109" s="274"/>
      <c r="H109" s="274"/>
      <c r="I109" s="274"/>
      <c r="J109" s="274"/>
    </row>
    <row r="110" spans="1:10">
      <c r="A110" s="274" t="s">
        <v>1112</v>
      </c>
      <c r="B110" s="356">
        <f>'7. Metric trends'!I111</f>
        <v>1621.5483749124471</v>
      </c>
      <c r="C110" s="274"/>
      <c r="D110" s="274"/>
      <c r="E110" s="274"/>
      <c r="F110" s="274"/>
      <c r="G110" s="274"/>
      <c r="H110" s="274"/>
      <c r="I110" s="274"/>
      <c r="J110" s="274"/>
    </row>
    <row r="111" spans="1:10">
      <c r="A111" s="274" t="s">
        <v>1113</v>
      </c>
      <c r="B111" s="356">
        <f>'7. Metric trends'!J112</f>
        <v>4317.6885835095136</v>
      </c>
      <c r="C111" s="274"/>
      <c r="D111" s="274"/>
      <c r="E111" s="274"/>
      <c r="F111" s="274"/>
      <c r="G111" s="274"/>
      <c r="H111" s="274"/>
      <c r="I111" s="274"/>
      <c r="J111" s="274"/>
    </row>
    <row r="112" spans="1:10">
      <c r="A112" s="274" t="s">
        <v>1114</v>
      </c>
      <c r="B112" s="356">
        <f>'7. Metric trends'!J113</f>
        <v>257793.01699999999</v>
      </c>
      <c r="C112" s="274"/>
      <c r="D112" s="274"/>
      <c r="E112" s="274"/>
      <c r="F112" s="274"/>
      <c r="G112" s="274"/>
      <c r="H112" s="274"/>
      <c r="I112" s="274"/>
      <c r="J112" s="274"/>
    </row>
    <row r="113" spans="1:10">
      <c r="A113" s="274" t="s">
        <v>1115</v>
      </c>
      <c r="B113" s="356">
        <f>'7. Metric trends'!J111</f>
        <v>1674.8663845729823</v>
      </c>
      <c r="C113" s="274"/>
      <c r="D113" s="274"/>
      <c r="E113" s="274"/>
      <c r="F113" s="274"/>
      <c r="G113" s="274"/>
      <c r="H113" s="274"/>
      <c r="I113" s="274"/>
      <c r="J113" s="274"/>
    </row>
    <row r="114" spans="1:10">
      <c r="A114" s="274" t="s">
        <v>1116</v>
      </c>
      <c r="B114" s="356">
        <f>'7. Metric trends'!K112</f>
        <v>4455.1386892177588</v>
      </c>
      <c r="C114" s="274"/>
      <c r="D114" s="274"/>
      <c r="E114" s="274"/>
      <c r="F114" s="274"/>
      <c r="G114" s="274"/>
      <c r="H114" s="274"/>
      <c r="I114" s="274"/>
      <c r="J114" s="274"/>
    </row>
    <row r="115" spans="1:10">
      <c r="A115" s="274" t="s">
        <v>1117</v>
      </c>
      <c r="B115" s="356">
        <f>'7. Metric trends'!K113</f>
        <v>259335.31399999998</v>
      </c>
      <c r="C115" s="274"/>
      <c r="D115" s="274"/>
      <c r="E115" s="274"/>
      <c r="F115" s="274"/>
      <c r="G115" s="274"/>
      <c r="H115" s="274"/>
      <c r="I115" s="274"/>
      <c r="J115" s="274"/>
    </row>
    <row r="116" spans="1:10">
      <c r="A116" s="274" t="s">
        <v>1118</v>
      </c>
      <c r="B116" s="356">
        <f>'7. Metric trends'!K111</f>
        <v>1717.9066824727768</v>
      </c>
      <c r="C116" s="274"/>
      <c r="D116" s="274"/>
      <c r="E116" s="274"/>
      <c r="F116" s="274"/>
      <c r="G116" s="274"/>
      <c r="H116" s="274"/>
      <c r="I116" s="274"/>
      <c r="J116" s="274"/>
    </row>
    <row r="117" spans="1:10">
      <c r="A117" s="274" t="s">
        <v>1130</v>
      </c>
      <c r="B117" s="356" t="str">
        <f>'6. HWB Supporting Metrics'!A39</f>
        <v>Taken from GP Survey
(For respondents with a long-standing health condition)
Q32. In the last 6 months, have you had enough support from local services or organisations to help you to manage your long-term health condition(s)? Please think about all services and organisations, not just health
(Total positive responses/total response)</v>
      </c>
      <c r="C117" s="274"/>
      <c r="D117" s="274"/>
      <c r="E117" s="274"/>
      <c r="F117" s="274"/>
      <c r="G117" s="274"/>
      <c r="H117" s="274"/>
      <c r="I117" s="274"/>
      <c r="J117" s="274"/>
    </row>
    <row r="118" spans="1:10">
      <c r="A118" s="274" t="s">
        <v>1131</v>
      </c>
      <c r="B118" s="356">
        <f>'6. HWB Supporting Metrics'!C38</f>
        <v>2013</v>
      </c>
      <c r="C118" s="274"/>
      <c r="D118" s="274"/>
      <c r="E118" s="274"/>
      <c r="F118" s="274"/>
      <c r="G118" s="274"/>
      <c r="H118" s="274"/>
      <c r="I118" s="274"/>
      <c r="J118" s="274"/>
    </row>
    <row r="119" spans="1:10">
      <c r="A119" s="274" t="s">
        <v>1132</v>
      </c>
      <c r="B119" s="356">
        <f>'6. HWB Supporting Metrics'!C40</f>
        <v>1456</v>
      </c>
      <c r="C119" s="274"/>
      <c r="D119" s="274"/>
      <c r="E119" s="274"/>
      <c r="F119" s="274"/>
      <c r="G119" s="274"/>
      <c r="H119" s="274"/>
      <c r="I119" s="274"/>
      <c r="J119" s="274"/>
    </row>
    <row r="120" spans="1:10">
      <c r="A120" s="274" t="s">
        <v>1133</v>
      </c>
      <c r="B120" s="356">
        <f>'6. HWB Supporting Metrics'!C41</f>
        <v>2357</v>
      </c>
      <c r="C120" s="274"/>
      <c r="D120" s="274"/>
      <c r="E120" s="274"/>
      <c r="F120" s="274"/>
      <c r="G120" s="274"/>
      <c r="H120" s="274"/>
      <c r="I120" s="274"/>
      <c r="J120" s="274"/>
    </row>
    <row r="121" spans="1:10">
      <c r="A121" s="274" t="s">
        <v>1134</v>
      </c>
      <c r="B121" s="356">
        <f>'6. HWB Supporting Metrics'!C39</f>
        <v>61.7</v>
      </c>
      <c r="C121" s="274"/>
      <c r="D121" s="274"/>
      <c r="E121" s="274"/>
      <c r="F121" s="274"/>
      <c r="G121" s="274"/>
      <c r="H121" s="274"/>
      <c r="I121" s="274"/>
      <c r="J121" s="274"/>
    </row>
    <row r="122" spans="1:10">
      <c r="A122" s="274" t="s">
        <v>1350</v>
      </c>
      <c r="B122" s="356">
        <f>'6. HWB Supporting Metrics'!D40</f>
        <v>1505</v>
      </c>
      <c r="C122" s="274"/>
      <c r="D122" s="274"/>
      <c r="E122" s="274"/>
      <c r="F122" s="274"/>
      <c r="G122" s="274"/>
      <c r="H122" s="274"/>
      <c r="I122" s="274"/>
      <c r="J122" s="274"/>
    </row>
    <row r="123" spans="1:10">
      <c r="A123" s="274" t="s">
        <v>1351</v>
      </c>
      <c r="B123" s="356">
        <f>'6. HWB Supporting Metrics'!D41</f>
        <v>2400</v>
      </c>
      <c r="C123" s="274"/>
      <c r="D123" s="274"/>
      <c r="E123" s="274"/>
      <c r="F123" s="274"/>
      <c r="G123" s="274"/>
      <c r="H123" s="274"/>
      <c r="I123" s="274"/>
      <c r="J123" s="274"/>
    </row>
    <row r="124" spans="1:10">
      <c r="A124" s="274" t="s">
        <v>1352</v>
      </c>
      <c r="B124" s="356">
        <f>'6. HWB Supporting Metrics'!D39</f>
        <v>62.7</v>
      </c>
      <c r="C124" s="274"/>
      <c r="D124" s="274"/>
      <c r="E124" s="274"/>
      <c r="F124" s="274"/>
      <c r="G124" s="274"/>
      <c r="H124" s="274"/>
      <c r="I124" s="274"/>
      <c r="J124" s="274"/>
    </row>
    <row r="125" spans="1:10">
      <c r="A125" s="274" t="s">
        <v>1135</v>
      </c>
      <c r="B125" s="356">
        <f>'6. HWB Supporting Metrics'!E40</f>
        <v>1593</v>
      </c>
      <c r="C125" s="274"/>
      <c r="D125" s="274"/>
      <c r="E125" s="274"/>
      <c r="F125" s="274"/>
      <c r="G125" s="274"/>
      <c r="H125" s="274"/>
      <c r="I125" s="274"/>
      <c r="J125" s="274"/>
    </row>
    <row r="126" spans="1:10">
      <c r="A126" s="274" t="s">
        <v>1136</v>
      </c>
      <c r="B126" s="356">
        <f>'6. HWB Supporting Metrics'!E41</f>
        <v>2500</v>
      </c>
      <c r="C126" s="274"/>
      <c r="D126" s="274"/>
      <c r="E126" s="274"/>
      <c r="F126" s="274"/>
      <c r="G126" s="274"/>
      <c r="H126" s="274"/>
      <c r="I126" s="274"/>
      <c r="J126" s="274"/>
    </row>
    <row r="127" spans="1:10">
      <c r="A127" s="274" t="s">
        <v>1137</v>
      </c>
      <c r="B127" s="356">
        <f>'6. HWB Supporting Metrics'!E39</f>
        <v>63.7</v>
      </c>
      <c r="C127" s="274"/>
      <c r="D127" s="274"/>
      <c r="E127" s="274"/>
      <c r="F127" s="274"/>
      <c r="G127" s="274"/>
      <c r="H127" s="274"/>
      <c r="I127" s="274"/>
      <c r="J127" s="274"/>
    </row>
    <row r="128" spans="1:10">
      <c r="A128" s="274" t="s">
        <v>1353</v>
      </c>
      <c r="B128" s="356" t="str">
        <f>'6. HWB Supporting Metrics'!B42</f>
        <v>Increase</v>
      </c>
      <c r="C128" s="274"/>
      <c r="D128" s="274"/>
      <c r="E128" s="274"/>
      <c r="F128" s="274"/>
      <c r="G128" s="274"/>
      <c r="H128" s="274"/>
      <c r="I128" s="274"/>
      <c r="J128" s="274"/>
    </row>
    <row r="129" spans="1:10">
      <c r="A129" s="274" t="s">
        <v>1119</v>
      </c>
      <c r="B129" s="356" t="str">
        <f>'6. HWB Supporting Metrics'!A48</f>
        <v>Number of patients on dementia registers as % of the estimated dementia prevalence (national indicator)</v>
      </c>
      <c r="C129" s="274"/>
      <c r="D129" s="274"/>
      <c r="E129" s="274"/>
      <c r="F129" s="274"/>
      <c r="G129" s="274"/>
      <c r="H129" s="274"/>
      <c r="I129" s="274"/>
      <c r="J129" s="274"/>
    </row>
    <row r="130" spans="1:10">
      <c r="A130" s="274" t="s">
        <v>1120</v>
      </c>
      <c r="B130" s="356">
        <f>'6. HWB Supporting Metrics'!C47</f>
        <v>41518</v>
      </c>
      <c r="C130" s="274"/>
      <c r="D130" s="274"/>
      <c r="E130" s="274"/>
      <c r="F130" s="274"/>
      <c r="G130" s="274"/>
      <c r="H130" s="274"/>
      <c r="I130" s="274"/>
      <c r="J130" s="274"/>
    </row>
    <row r="131" spans="1:10">
      <c r="A131" s="274" t="s">
        <v>1121</v>
      </c>
      <c r="B131" s="356">
        <f>'6. HWB Supporting Metrics'!C49</f>
        <v>1831</v>
      </c>
      <c r="C131" s="274"/>
      <c r="D131" s="274"/>
      <c r="E131" s="274"/>
      <c r="F131" s="274"/>
      <c r="G131" s="274"/>
      <c r="H131" s="274"/>
      <c r="I131" s="274"/>
      <c r="J131" s="274"/>
    </row>
    <row r="132" spans="1:10">
      <c r="A132" s="274" t="s">
        <v>1122</v>
      </c>
      <c r="B132" s="356">
        <f>'6. HWB Supporting Metrics'!C50</f>
        <v>3323</v>
      </c>
      <c r="C132" s="274"/>
      <c r="D132" s="274"/>
      <c r="E132" s="274"/>
      <c r="F132" s="274"/>
      <c r="G132" s="274"/>
      <c r="H132" s="274"/>
      <c r="I132" s="274"/>
      <c r="J132" s="274"/>
    </row>
    <row r="133" spans="1:10">
      <c r="A133" s="274" t="s">
        <v>1123</v>
      </c>
      <c r="B133" s="356">
        <f>'6. HWB Supporting Metrics'!C48</f>
        <v>0.55100812518808306</v>
      </c>
      <c r="C133" s="274"/>
      <c r="D133" s="274"/>
      <c r="E133" s="274"/>
      <c r="F133" s="274"/>
      <c r="G133" s="274"/>
      <c r="H133" s="274"/>
      <c r="I133" s="274"/>
      <c r="J133" s="274"/>
    </row>
    <row r="134" spans="1:10">
      <c r="A134" s="274" t="s">
        <v>1124</v>
      </c>
      <c r="B134" s="356">
        <f>'6. HWB Supporting Metrics'!D49</f>
        <v>2194</v>
      </c>
      <c r="C134" s="274"/>
      <c r="D134" s="274"/>
      <c r="E134" s="274"/>
      <c r="F134" s="274"/>
      <c r="G134" s="274"/>
      <c r="H134" s="274"/>
      <c r="I134" s="274"/>
      <c r="J134" s="274"/>
    </row>
    <row r="135" spans="1:10">
      <c r="A135" s="274" t="s">
        <v>1125</v>
      </c>
      <c r="B135" s="356">
        <f>'6. HWB Supporting Metrics'!D50</f>
        <v>3376</v>
      </c>
      <c r="C135" s="274"/>
      <c r="D135" s="274"/>
      <c r="E135" s="274"/>
      <c r="F135" s="274"/>
      <c r="G135" s="274"/>
      <c r="H135" s="274"/>
      <c r="I135" s="274"/>
      <c r="J135" s="274"/>
    </row>
    <row r="136" spans="1:10">
      <c r="A136" s="274" t="s">
        <v>1126</v>
      </c>
      <c r="B136" s="356">
        <f>'6. HWB Supporting Metrics'!D48</f>
        <v>0.64988151658767768</v>
      </c>
      <c r="C136" s="274"/>
      <c r="D136" s="274"/>
      <c r="E136" s="274"/>
      <c r="F136" s="274"/>
      <c r="G136" s="274"/>
      <c r="H136" s="274"/>
      <c r="I136" s="274"/>
      <c r="J136" s="274"/>
    </row>
    <row r="137" spans="1:10">
      <c r="A137" s="274" t="s">
        <v>1127</v>
      </c>
      <c r="B137" s="356">
        <f>'6. HWB Supporting Metrics'!E49</f>
        <v>2285</v>
      </c>
      <c r="C137" s="274"/>
      <c r="D137" s="274"/>
      <c r="E137" s="274"/>
      <c r="F137" s="274"/>
      <c r="G137" s="274"/>
      <c r="H137" s="274"/>
      <c r="I137" s="274"/>
      <c r="J137" s="274"/>
    </row>
    <row r="138" spans="1:10">
      <c r="A138" s="274" t="s">
        <v>1128</v>
      </c>
      <c r="B138" s="356">
        <f>'6. HWB Supporting Metrics'!E50</f>
        <v>3410</v>
      </c>
      <c r="C138" s="274"/>
      <c r="D138" s="274"/>
      <c r="E138" s="274"/>
      <c r="F138" s="274"/>
      <c r="G138" s="274"/>
      <c r="H138" s="274"/>
      <c r="I138" s="274"/>
      <c r="J138" s="274"/>
    </row>
    <row r="139" spans="1:10">
      <c r="A139" s="274" t="s">
        <v>1129</v>
      </c>
      <c r="B139" s="356">
        <f>'6. HWB Supporting Metrics'!E48</f>
        <v>0.6700879765395894</v>
      </c>
      <c r="C139" s="274"/>
      <c r="D139" s="274"/>
      <c r="E139" s="274"/>
      <c r="F139" s="274"/>
      <c r="G139" s="274"/>
      <c r="H139" s="274"/>
      <c r="I139" s="274"/>
      <c r="J139" s="274"/>
    </row>
    <row r="140" spans="1:10">
      <c r="A140" s="274" t="s">
        <v>1353</v>
      </c>
      <c r="B140" s="356" t="str">
        <f>'6. HWB Supporting Metrics'!B51</f>
        <v>Increase</v>
      </c>
      <c r="C140" s="274"/>
      <c r="D140" s="274"/>
      <c r="E140" s="274"/>
      <c r="F140" s="274"/>
      <c r="G140" s="274"/>
      <c r="H140" s="274"/>
      <c r="I140" s="274"/>
      <c r="J140" s="274"/>
    </row>
    <row r="141" spans="1:10">
      <c r="A141" s="274" t="s">
        <v>1355</v>
      </c>
      <c r="B141" s="210">
        <f>'5. HWB P4P metric'!C10</f>
        <v>8276</v>
      </c>
    </row>
    <row r="142" spans="1:10">
      <c r="A142" s="274" t="s">
        <v>1356</v>
      </c>
      <c r="B142" s="210">
        <f>'5. HWB P4P metric'!C11</f>
        <v>335699.71399999998</v>
      </c>
    </row>
    <row r="143" spans="1:10">
      <c r="A143" s="274" t="s">
        <v>1357</v>
      </c>
      <c r="B143" s="210">
        <f>'5. HWB P4P metric'!C9</f>
        <v>2465.2984959051828</v>
      </c>
    </row>
    <row r="144" spans="1:10">
      <c r="A144" s="274" t="s">
        <v>1354</v>
      </c>
      <c r="B144" s="210">
        <f>'5. HWB P4P metric'!D10</f>
        <v>6629</v>
      </c>
    </row>
    <row r="145" spans="1:2">
      <c r="A145" s="274" t="s">
        <v>1358</v>
      </c>
      <c r="B145" s="210">
        <f>'5. HWB P4P metric'!D11</f>
        <v>335699.71399999998</v>
      </c>
    </row>
    <row r="146" spans="1:2">
      <c r="A146" s="274" t="s">
        <v>1359</v>
      </c>
      <c r="B146" s="210">
        <f>'5. HWB P4P metric'!D9</f>
        <v>1974.6814559395189</v>
      </c>
    </row>
    <row r="147" spans="1:2">
      <c r="A147" s="274" t="s">
        <v>1360</v>
      </c>
      <c r="B147" s="210">
        <f>'5. HWB P4P metric'!E10</f>
        <v>7050</v>
      </c>
    </row>
    <row r="148" spans="1:2">
      <c r="A148" s="274" t="s">
        <v>1361</v>
      </c>
      <c r="B148" s="210">
        <f>'5. HWB P4P metric'!E11</f>
        <v>335699.71399999998</v>
      </c>
    </row>
    <row r="149" spans="1:2">
      <c r="A149" s="274" t="s">
        <v>1362</v>
      </c>
      <c r="B149" s="210">
        <f>'5. HWB P4P metric'!E9</f>
        <v>2100.091154679983</v>
      </c>
    </row>
    <row r="150" spans="1:2">
      <c r="A150" s="274" t="s">
        <v>1363</v>
      </c>
      <c r="B150" s="210">
        <f>'5. HWB P4P metric'!F10</f>
        <v>6976</v>
      </c>
    </row>
    <row r="151" spans="1:2">
      <c r="A151" s="274" t="s">
        <v>1364</v>
      </c>
      <c r="B151" s="210">
        <f>'5. HWB P4P metric'!F11</f>
        <v>335699.71399999998</v>
      </c>
    </row>
    <row r="152" spans="1:2">
      <c r="A152" s="274" t="s">
        <v>1365</v>
      </c>
      <c r="B152" s="210">
        <f>'5. HWB P4P metric'!F9</f>
        <v>2078.0476446875973</v>
      </c>
    </row>
    <row r="153" spans="1:2">
      <c r="A153" s="274" t="s">
        <v>1366</v>
      </c>
      <c r="B153" s="210">
        <f>'5. HWB P4P metric'!G10</f>
        <v>7986</v>
      </c>
    </row>
    <row r="154" spans="1:2">
      <c r="A154" s="274" t="s">
        <v>1367</v>
      </c>
      <c r="B154" s="210">
        <f>'5. HWB P4P metric'!G11</f>
        <v>337739.62800000003</v>
      </c>
    </row>
    <row r="155" spans="1:2">
      <c r="A155" s="274" t="s">
        <v>1368</v>
      </c>
      <c r="B155" s="210">
        <f>'5. HWB P4P metric'!G9</f>
        <v>2364.5433754075193</v>
      </c>
    </row>
    <row r="156" spans="1:2">
      <c r="A156" s="274" t="s">
        <v>1376</v>
      </c>
      <c r="B156" s="210">
        <f>'5. HWB P4P metric'!H10</f>
        <v>6397</v>
      </c>
    </row>
    <row r="157" spans="1:2">
      <c r="A157" s="274" t="s">
        <v>1369</v>
      </c>
      <c r="B157" s="210">
        <f>'5. HWB P4P metric'!H11</f>
        <v>337739.62800000003</v>
      </c>
    </row>
    <row r="158" spans="1:2">
      <c r="A158" s="274" t="s">
        <v>1370</v>
      </c>
      <c r="B158" s="210">
        <f>'5. HWB P4P metric'!H9</f>
        <v>1894.0626061209493</v>
      </c>
    </row>
    <row r="159" spans="1:2">
      <c r="A159" s="359" t="s">
        <v>1372</v>
      </c>
      <c r="B159" s="210">
        <f>'5. HWB P4P metric'!I10</f>
        <v>6803</v>
      </c>
    </row>
    <row r="160" spans="1:2">
      <c r="A160" s="274" t="s">
        <v>1371</v>
      </c>
      <c r="B160" s="210">
        <f>'5. HWB P4P metric'!I11</f>
        <v>337739.62800000003</v>
      </c>
    </row>
    <row r="161" spans="1:2">
      <c r="A161" s="274" t="s">
        <v>1372</v>
      </c>
      <c r="B161" s="210">
        <f>'5. HWB P4P metric'!I9</f>
        <v>2014.2735515774298</v>
      </c>
    </row>
    <row r="162" spans="1:2">
      <c r="A162" s="274" t="s">
        <v>1377</v>
      </c>
      <c r="B162" s="210">
        <f>'5. HWB P4P metric'!J10</f>
        <v>6732</v>
      </c>
    </row>
    <row r="163" spans="1:2">
      <c r="A163" s="274" t="s">
        <v>1373</v>
      </c>
      <c r="B163" s="210">
        <f>'5. HWB P4P metric'!J11</f>
        <v>337739.62800000003</v>
      </c>
    </row>
    <row r="164" spans="1:2">
      <c r="A164" s="274" t="s">
        <v>1374</v>
      </c>
      <c r="B164" s="210">
        <f>'5. HWB P4P metric'!J9</f>
        <v>1993.2514404261733</v>
      </c>
    </row>
    <row r="165" spans="1:2">
      <c r="A165" s="274" t="s">
        <v>1378</v>
      </c>
      <c r="B165" s="210">
        <f>'5. HWB P4P metric'!K10</f>
        <v>7706</v>
      </c>
    </row>
    <row r="166" spans="1:2">
      <c r="A166" s="274" t="s">
        <v>1375</v>
      </c>
      <c r="B166" s="210">
        <f>'5. HWB P4P metric'!K11</f>
        <v>339932.73700000002</v>
      </c>
    </row>
    <row r="167" spans="1:2">
      <c r="A167" s="274" t="s">
        <v>1379</v>
      </c>
      <c r="B167" s="210">
        <f>'5. HWB P4P metric'!K9</f>
        <v>2266.9190581664984</v>
      </c>
    </row>
    <row r="168" spans="1:2">
      <c r="A168" s="274" t="s">
        <v>1380</v>
      </c>
      <c r="B168" s="210">
        <f>'5. HWB P4P metric'!N9</f>
        <v>0</v>
      </c>
    </row>
    <row r="169" spans="1:2">
      <c r="A169" s="274" t="s">
        <v>1381</v>
      </c>
      <c r="B169" s="210">
        <f>'5. HWB P4P metric'!H12</f>
        <v>-1013</v>
      </c>
    </row>
    <row r="170" spans="1:2">
      <c r="A170" s="274" t="s">
        <v>1382</v>
      </c>
      <c r="B170" s="210">
        <f>'5. HWB P4P metric'!H13</f>
        <v>-3.5014344474784798E-2</v>
      </c>
    </row>
    <row r="171" spans="1:2">
      <c r="A171" s="274" t="s">
        <v>1383</v>
      </c>
      <c r="B171" s="210">
        <f>'5. HWB P4P metric'!H14</f>
        <v>1509370</v>
      </c>
    </row>
    <row r="172" spans="1:2">
      <c r="A172" s="274" t="s">
        <v>1384</v>
      </c>
      <c r="B172" s="210">
        <f>'5. HWB P4P metric'!J14</f>
        <v>1490</v>
      </c>
    </row>
    <row r="173" spans="1:2">
      <c r="A173" s="274" t="s">
        <v>1400</v>
      </c>
      <c r="B173" s="210">
        <f>'5. HWB P4P metric'!C20</f>
        <v>7028</v>
      </c>
    </row>
    <row r="174" spans="1:2">
      <c r="A174" s="274" t="s">
        <v>1401</v>
      </c>
      <c r="B174" s="210">
        <f>'5. HWB P4P metric'!D20</f>
        <v>6017</v>
      </c>
    </row>
    <row r="175" spans="1:2">
      <c r="A175" s="274" t="s">
        <v>1402</v>
      </c>
      <c r="B175" s="210">
        <f>'5. HWB P4P metric'!E20</f>
        <v>6384</v>
      </c>
    </row>
    <row r="176" spans="1:2">
      <c r="A176" s="274" t="s">
        <v>1403</v>
      </c>
      <c r="B176" s="210">
        <f>'5. HWB P4P metric'!F20</f>
        <v>6326</v>
      </c>
    </row>
    <row r="177" spans="1:2">
      <c r="A177" s="274" t="s">
        <v>1404</v>
      </c>
      <c r="B177" s="210">
        <f>'5. HWB P4P metric'!C21</f>
        <v>8515</v>
      </c>
    </row>
    <row r="178" spans="1:2">
      <c r="A178" s="274" t="s">
        <v>1405</v>
      </c>
      <c r="B178" s="210">
        <f>'5. HWB P4P metric'!D21</f>
        <v>6796</v>
      </c>
    </row>
    <row r="179" spans="1:2">
      <c r="A179" s="274" t="s">
        <v>1406</v>
      </c>
      <c r="B179" s="210">
        <f>'5. HWB P4P metric'!E21</f>
        <v>7229</v>
      </c>
    </row>
    <row r="180" spans="1:2">
      <c r="A180" s="274" t="s">
        <v>1408</v>
      </c>
      <c r="B180" s="210">
        <f>'5. HWB P4P metric'!F21</f>
        <v>7152</v>
      </c>
    </row>
    <row r="181" spans="1:2">
      <c r="A181" s="274" t="s">
        <v>1409</v>
      </c>
      <c r="B181" s="210">
        <f>'5. HWB P4P metric'!C22</f>
        <v>8087</v>
      </c>
    </row>
    <row r="182" spans="1:2">
      <c r="A182" s="274" t="s">
        <v>1411</v>
      </c>
      <c r="B182" s="210">
        <f>'5. HWB P4P metric'!D22</f>
        <v>6944</v>
      </c>
    </row>
    <row r="183" spans="1:2">
      <c r="A183" s="274" t="s">
        <v>1410</v>
      </c>
      <c r="B183" s="210">
        <f>'5. HWB P4P metric'!E22</f>
        <v>7349</v>
      </c>
    </row>
    <row r="184" spans="1:2">
      <c r="A184" s="274" t="s">
        <v>1407</v>
      </c>
      <c r="B184" s="210">
        <f>'5. HWB P4P metric'!F22</f>
        <v>7288</v>
      </c>
    </row>
    <row r="185" spans="1:2">
      <c r="A185" s="274" t="s">
        <v>1412</v>
      </c>
      <c r="B185" s="210" t="str">
        <f>'5. HWB P4P metric'!C23</f>
        <v/>
      </c>
    </row>
    <row r="186" spans="1:2">
      <c r="A186" s="274" t="s">
        <v>1413</v>
      </c>
      <c r="B186" s="210" t="str">
        <f>'5. HWB P4P metric'!D23</f>
        <v/>
      </c>
    </row>
    <row r="187" spans="1:2">
      <c r="A187" s="274" t="s">
        <v>1414</v>
      </c>
      <c r="B187" s="210" t="str">
        <f>'5. HWB P4P metric'!E23</f>
        <v/>
      </c>
    </row>
    <row r="188" spans="1:2">
      <c r="A188" s="274" t="s">
        <v>1415</v>
      </c>
      <c r="B188" s="210" t="str">
        <f>'5. HWB P4P metric'!F23</f>
        <v/>
      </c>
    </row>
    <row r="189" spans="1:2">
      <c r="A189" s="274" t="s">
        <v>1416</v>
      </c>
      <c r="B189" s="210" t="str">
        <f>'5. HWB P4P metric'!C24</f>
        <v/>
      </c>
    </row>
    <row r="190" spans="1:2">
      <c r="A190" s="274" t="s">
        <v>1417</v>
      </c>
      <c r="B190" s="210" t="str">
        <f>'5. HWB P4P metric'!D24</f>
        <v/>
      </c>
    </row>
    <row r="191" spans="1:2">
      <c r="A191" s="274" t="s">
        <v>1418</v>
      </c>
      <c r="B191" s="210" t="str">
        <f>'5. HWB P4P metric'!E24</f>
        <v/>
      </c>
    </row>
    <row r="192" spans="1:2">
      <c r="A192" s="274" t="s">
        <v>1419</v>
      </c>
      <c r="B192" s="210" t="str">
        <f>'5. HWB P4P metric'!F24</f>
        <v/>
      </c>
    </row>
    <row r="193" spans="1:2">
      <c r="A193" s="274" t="s">
        <v>1420</v>
      </c>
      <c r="B193" s="210" t="str">
        <f>'5. HWB P4P metric'!C25</f>
        <v/>
      </c>
    </row>
    <row r="194" spans="1:2">
      <c r="A194" s="274" t="s">
        <v>1421</v>
      </c>
      <c r="B194" s="210" t="str">
        <f>'5. HWB P4P metric'!D25</f>
        <v/>
      </c>
    </row>
    <row r="195" spans="1:2">
      <c r="A195" s="274" t="s">
        <v>1422</v>
      </c>
      <c r="B195" s="210" t="str">
        <f>'5. HWB P4P metric'!E25</f>
        <v/>
      </c>
    </row>
    <row r="196" spans="1:2">
      <c r="A196" s="274" t="s">
        <v>1423</v>
      </c>
      <c r="B196" s="210" t="str">
        <f>'5. HWB P4P metric'!F25</f>
        <v/>
      </c>
    </row>
    <row r="197" spans="1:2">
      <c r="A197" s="274" t="s">
        <v>1424</v>
      </c>
      <c r="B197" s="210" t="str">
        <f>'5. HWB P4P metric'!C26</f>
        <v/>
      </c>
    </row>
    <row r="198" spans="1:2">
      <c r="A198" s="274" t="s">
        <v>1425</v>
      </c>
      <c r="B198" s="210" t="str">
        <f>'5. HWB P4P metric'!D26</f>
        <v/>
      </c>
    </row>
    <row r="199" spans="1:2">
      <c r="A199" s="274" t="s">
        <v>1426</v>
      </c>
      <c r="B199" s="210" t="str">
        <f>'5. HWB P4P metric'!E26</f>
        <v/>
      </c>
    </row>
    <row r="200" spans="1:2">
      <c r="A200" s="274" t="s">
        <v>1427</v>
      </c>
      <c r="B200" s="210" t="str">
        <f>'5. HWB P4P metric'!F26</f>
        <v/>
      </c>
    </row>
    <row r="201" spans="1:2">
      <c r="A201" s="274" t="s">
        <v>1428</v>
      </c>
      <c r="B201" s="210" t="str">
        <f>'5. HWB P4P metric'!C27</f>
        <v/>
      </c>
    </row>
    <row r="202" spans="1:2">
      <c r="A202" s="274" t="s">
        <v>1429</v>
      </c>
      <c r="B202" s="210" t="str">
        <f>'5. HWB P4P metric'!D27</f>
        <v/>
      </c>
    </row>
    <row r="203" spans="1:2">
      <c r="A203" s="274" t="s">
        <v>1430</v>
      </c>
      <c r="B203" s="210" t="str">
        <f>'5. HWB P4P metric'!E27</f>
        <v/>
      </c>
    </row>
    <row r="204" spans="1:2">
      <c r="A204" s="274" t="s">
        <v>1431</v>
      </c>
      <c r="B204" s="210" t="str">
        <f>'5. HWB P4P metric'!F27</f>
        <v/>
      </c>
    </row>
    <row r="205" spans="1:2">
      <c r="A205" s="274" t="s">
        <v>1432</v>
      </c>
      <c r="B205" s="210" t="str">
        <f>'5. HWB P4P metric'!C28</f>
        <v/>
      </c>
    </row>
    <row r="206" spans="1:2">
      <c r="A206" s="274" t="s">
        <v>1433</v>
      </c>
      <c r="B206" s="210" t="str">
        <f>'5. HWB P4P metric'!D28</f>
        <v/>
      </c>
    </row>
    <row r="207" spans="1:2">
      <c r="A207" s="274" t="s">
        <v>1434</v>
      </c>
      <c r="B207" s="210" t="str">
        <f>'5. HWB P4P metric'!E28</f>
        <v/>
      </c>
    </row>
    <row r="208" spans="1:2">
      <c r="A208" s="274" t="s">
        <v>1435</v>
      </c>
      <c r="B208" s="210" t="str">
        <f>'5. HWB P4P metric'!F28</f>
        <v/>
      </c>
    </row>
    <row r="209" spans="1:2">
      <c r="A209" s="274" t="s">
        <v>1436</v>
      </c>
      <c r="B209" s="210" t="str">
        <f>'5. HWB P4P metric'!C29</f>
        <v/>
      </c>
    </row>
    <row r="210" spans="1:2">
      <c r="A210" s="274" t="s">
        <v>1437</v>
      </c>
      <c r="B210" s="210" t="str">
        <f>'5. HWB P4P metric'!D29</f>
        <v/>
      </c>
    </row>
    <row r="211" spans="1:2">
      <c r="A211" s="274" t="s">
        <v>1438</v>
      </c>
      <c r="B211" s="210" t="str">
        <f>'5. HWB P4P metric'!E29</f>
        <v/>
      </c>
    </row>
    <row r="212" spans="1:2">
      <c r="A212" s="274" t="s">
        <v>1439</v>
      </c>
      <c r="B212" s="210" t="str">
        <f>'5. HWB P4P metric'!F29</f>
        <v/>
      </c>
    </row>
    <row r="213" spans="1:2">
      <c r="A213" s="274" t="s">
        <v>1440</v>
      </c>
      <c r="B213" s="210" t="str">
        <f>'5. HWB P4P metric'!C30</f>
        <v/>
      </c>
    </row>
    <row r="214" spans="1:2">
      <c r="A214" s="274" t="s">
        <v>1441</v>
      </c>
      <c r="B214" s="210" t="str">
        <f>'5. HWB P4P metric'!D30</f>
        <v/>
      </c>
    </row>
    <row r="215" spans="1:2">
      <c r="A215" s="274" t="s">
        <v>1442</v>
      </c>
      <c r="B215" s="210" t="str">
        <f>'5. HWB P4P metric'!E30</f>
        <v/>
      </c>
    </row>
    <row r="216" spans="1:2">
      <c r="A216" s="274" t="s">
        <v>1443</v>
      </c>
      <c r="B216" s="210" t="str">
        <f>'5. HWB P4P metric'!F30</f>
        <v/>
      </c>
    </row>
    <row r="217" spans="1:2">
      <c r="A217" s="274" t="s">
        <v>1444</v>
      </c>
      <c r="B217" s="210" t="str">
        <f>'5. HWB P4P metric'!C31</f>
        <v/>
      </c>
    </row>
    <row r="218" spans="1:2">
      <c r="A218" s="274" t="s">
        <v>1445</v>
      </c>
      <c r="B218" s="210" t="str">
        <f>'5. HWB P4P metric'!D31</f>
        <v/>
      </c>
    </row>
    <row r="219" spans="1:2">
      <c r="A219" s="274" t="s">
        <v>1446</v>
      </c>
      <c r="B219" s="210" t="str">
        <f>'5. HWB P4P metric'!E31</f>
        <v/>
      </c>
    </row>
    <row r="220" spans="1:2">
      <c r="A220" s="274" t="s">
        <v>1447</v>
      </c>
      <c r="B220" s="210" t="str">
        <f>'5. HWB P4P metric'!F31</f>
        <v/>
      </c>
    </row>
    <row r="221" spans="1:2">
      <c r="A221" s="274" t="s">
        <v>1448</v>
      </c>
      <c r="B221" s="210" t="str">
        <f>'5. HWB P4P metric'!C32</f>
        <v/>
      </c>
    </row>
    <row r="222" spans="1:2">
      <c r="A222" s="274" t="s">
        <v>1449</v>
      </c>
      <c r="B222" s="210" t="str">
        <f>'5. HWB P4P metric'!D32</f>
        <v/>
      </c>
    </row>
    <row r="223" spans="1:2">
      <c r="A223" s="274" t="s">
        <v>1450</v>
      </c>
      <c r="B223" s="210" t="str">
        <f>'5. HWB P4P metric'!E32</f>
        <v/>
      </c>
    </row>
    <row r="224" spans="1:2">
      <c r="A224" s="274" t="s">
        <v>1451</v>
      </c>
      <c r="B224" s="210" t="str">
        <f>'5. HWB P4P metric'!F32</f>
        <v/>
      </c>
    </row>
    <row r="225" spans="1:2">
      <c r="A225" s="274" t="s">
        <v>1452</v>
      </c>
      <c r="B225" s="210" t="str">
        <f>'5. HWB P4P metric'!C33</f>
        <v/>
      </c>
    </row>
    <row r="226" spans="1:2">
      <c r="A226" s="274" t="s">
        <v>1453</v>
      </c>
      <c r="B226" s="210" t="str">
        <f>'5. HWB P4P metric'!D33</f>
        <v/>
      </c>
    </row>
    <row r="227" spans="1:2">
      <c r="A227" s="274" t="s">
        <v>1454</v>
      </c>
      <c r="B227" s="210" t="str">
        <f>'5. HWB P4P metric'!E33</f>
        <v/>
      </c>
    </row>
    <row r="228" spans="1:2">
      <c r="A228" s="274" t="s">
        <v>1455</v>
      </c>
      <c r="B228" s="210" t="str">
        <f>'5. HWB P4P metric'!F33</f>
        <v/>
      </c>
    </row>
    <row r="229" spans="1:2">
      <c r="A229" s="274" t="s">
        <v>1456</v>
      </c>
      <c r="B229" s="210" t="str">
        <f>'5. HWB P4P metric'!C34</f>
        <v/>
      </c>
    </row>
    <row r="230" spans="1:2">
      <c r="A230" s="274" t="s">
        <v>1457</v>
      </c>
      <c r="B230" s="210" t="str">
        <f>'5. HWB P4P metric'!D34</f>
        <v/>
      </c>
    </row>
    <row r="231" spans="1:2">
      <c r="A231" s="274" t="s">
        <v>1458</v>
      </c>
      <c r="B231" s="210" t="str">
        <f>'5. HWB P4P metric'!E34</f>
        <v/>
      </c>
    </row>
    <row r="232" spans="1:2">
      <c r="A232" s="274" t="s">
        <v>1459</v>
      </c>
      <c r="B232" s="210" t="str">
        <f>'5. HWB P4P metric'!F34</f>
        <v/>
      </c>
    </row>
    <row r="233" spans="1:2">
      <c r="A233" s="274" t="s">
        <v>1460</v>
      </c>
      <c r="B233" s="210" t="str">
        <f>'5. HWB P4P metric'!C35</f>
        <v/>
      </c>
    </row>
    <row r="234" spans="1:2">
      <c r="A234" s="274" t="s">
        <v>1461</v>
      </c>
      <c r="B234" s="210" t="str">
        <f>'5. HWB P4P metric'!D35</f>
        <v/>
      </c>
    </row>
    <row r="235" spans="1:2">
      <c r="A235" s="274" t="s">
        <v>1462</v>
      </c>
      <c r="B235" s="210" t="str">
        <f>'5. HWB P4P metric'!E35</f>
        <v/>
      </c>
    </row>
    <row r="236" spans="1:2">
      <c r="A236" s="274" t="s">
        <v>1463</v>
      </c>
      <c r="B236" s="210" t="str">
        <f>'5. HWB P4P metric'!F35</f>
        <v/>
      </c>
    </row>
    <row r="237" spans="1:2">
      <c r="A237" s="274" t="s">
        <v>1464</v>
      </c>
      <c r="B237" s="210" t="str">
        <f>'5. HWB P4P metric'!C36</f>
        <v/>
      </c>
    </row>
    <row r="238" spans="1:2">
      <c r="A238" s="274" t="s">
        <v>1465</v>
      </c>
      <c r="B238" s="210" t="str">
        <f>'5. HWB P4P metric'!D36</f>
        <v/>
      </c>
    </row>
    <row r="239" spans="1:2">
      <c r="A239" s="274" t="s">
        <v>1466</v>
      </c>
      <c r="B239" s="210" t="str">
        <f>'5. HWB P4P metric'!E36</f>
        <v/>
      </c>
    </row>
    <row r="240" spans="1:2">
      <c r="A240" s="274" t="s">
        <v>1467</v>
      </c>
      <c r="B240" s="210" t="str">
        <f>'5. HWB P4P metric'!F36</f>
        <v/>
      </c>
    </row>
    <row r="241" spans="1:2">
      <c r="A241" s="274" t="s">
        <v>1468</v>
      </c>
      <c r="B241" s="210" t="str">
        <f>'5. HWB P4P metric'!C37</f>
        <v/>
      </c>
    </row>
    <row r="242" spans="1:2">
      <c r="A242" s="274" t="s">
        <v>1469</v>
      </c>
      <c r="B242" s="210" t="str">
        <f>'5. HWB P4P metric'!D37</f>
        <v/>
      </c>
    </row>
    <row r="243" spans="1:2">
      <c r="A243" s="274" t="s">
        <v>1470</v>
      </c>
      <c r="B243" s="210" t="str">
        <f>'5. HWB P4P metric'!E37</f>
        <v/>
      </c>
    </row>
    <row r="244" spans="1:2">
      <c r="A244" s="274" t="s">
        <v>1471</v>
      </c>
      <c r="B244" s="210" t="str">
        <f>'5. HWB P4P metric'!F37</f>
        <v/>
      </c>
    </row>
    <row r="245" spans="1:2">
      <c r="A245" s="274" t="s">
        <v>1472</v>
      </c>
      <c r="B245" s="210" t="str">
        <f>'5. HWB P4P metric'!C38</f>
        <v/>
      </c>
    </row>
    <row r="246" spans="1:2">
      <c r="A246" s="274" t="s">
        <v>1473</v>
      </c>
      <c r="B246" s="210" t="str">
        <f>'5. HWB P4P metric'!D38</f>
        <v/>
      </c>
    </row>
    <row r="247" spans="1:2">
      <c r="A247" s="274" t="s">
        <v>1474</v>
      </c>
      <c r="B247" s="210" t="str">
        <f>'5. HWB P4P metric'!E38</f>
        <v/>
      </c>
    </row>
    <row r="248" spans="1:2">
      <c r="A248" s="274" t="s">
        <v>1475</v>
      </c>
      <c r="B248" s="210" t="str">
        <f>'5. HWB P4P metric'!F38</f>
        <v/>
      </c>
    </row>
    <row r="249" spans="1:2">
      <c r="A249" s="274" t="s">
        <v>1476</v>
      </c>
      <c r="B249" s="210" t="str">
        <f>'5. HWB P4P metric'!C39</f>
        <v/>
      </c>
    </row>
    <row r="250" spans="1:2">
      <c r="A250" s="274" t="s">
        <v>1477</v>
      </c>
      <c r="B250" s="210" t="str">
        <f>'5. HWB P4P metric'!D39</f>
        <v/>
      </c>
    </row>
    <row r="251" spans="1:2">
      <c r="A251" s="274" t="s">
        <v>1478</v>
      </c>
      <c r="B251" s="210" t="str">
        <f>'5. HWB P4P metric'!E39</f>
        <v/>
      </c>
    </row>
    <row r="252" spans="1:2">
      <c r="A252" s="274" t="s">
        <v>1479</v>
      </c>
      <c r="B252" s="210" t="str">
        <f>'5. HWB P4P metric'!F39</f>
        <v/>
      </c>
    </row>
    <row r="253" spans="1:2">
      <c r="A253" s="274" t="s">
        <v>1480</v>
      </c>
      <c r="B253" s="210" t="str">
        <f>'5. HWB P4P metric'!C40</f>
        <v/>
      </c>
    </row>
    <row r="254" spans="1:2">
      <c r="A254" s="274" t="s">
        <v>1481</v>
      </c>
      <c r="B254" s="210" t="str">
        <f>'5. HWB P4P metric'!D40</f>
        <v/>
      </c>
    </row>
    <row r="255" spans="1:2">
      <c r="A255" s="274" t="s">
        <v>1482</v>
      </c>
      <c r="B255" s="210" t="str">
        <f>'5. HWB P4P metric'!E40</f>
        <v/>
      </c>
    </row>
    <row r="256" spans="1:2">
      <c r="A256" s="274" t="s">
        <v>1483</v>
      </c>
      <c r="B256" s="210" t="str">
        <f>'5. HWB P4P metric'!F40</f>
        <v/>
      </c>
    </row>
    <row r="257" spans="1:2">
      <c r="A257" s="274" t="s">
        <v>1385</v>
      </c>
      <c r="B257" s="210">
        <f>'7. Metric trends'!D34</f>
        <v>7010.6646497854308</v>
      </c>
    </row>
    <row r="258" spans="1:2">
      <c r="A258" s="274" t="s">
        <v>1386</v>
      </c>
      <c r="B258" s="210">
        <f>'7. Metric trends'!D35</f>
        <v>335699.71399999998</v>
      </c>
    </row>
    <row r="259" spans="1:2">
      <c r="A259" s="274" t="s">
        <v>1387</v>
      </c>
      <c r="B259" s="210">
        <f>'7. Metric trends'!D33</f>
        <v>2088.3737332541878</v>
      </c>
    </row>
    <row r="260" spans="1:2">
      <c r="A260" s="274" t="s">
        <v>1388</v>
      </c>
      <c r="B260" s="210">
        <f>'7. Metric trends'!E34</f>
        <v>6948.686420525727</v>
      </c>
    </row>
    <row r="261" spans="1:2">
      <c r="A261" s="274" t="s">
        <v>1392</v>
      </c>
      <c r="B261" s="210">
        <f>'7. Metric trends'!E35</f>
        <v>337739.62800000003</v>
      </c>
    </row>
    <row r="262" spans="1:2">
      <c r="A262" s="274" t="s">
        <v>1393</v>
      </c>
      <c r="B262" s="210">
        <f>'7. Metric trends'!E33</f>
        <v>2057.4092716551836</v>
      </c>
    </row>
    <row r="263" spans="1:2">
      <c r="A263" s="274" t="s">
        <v>1389</v>
      </c>
      <c r="B263" s="210">
        <f>'7. Metric trends'!F34</f>
        <v>6886.7081912660233</v>
      </c>
    </row>
    <row r="264" spans="1:2">
      <c r="A264" s="274" t="s">
        <v>1394</v>
      </c>
      <c r="B264" s="210">
        <f>'7. Metric trends'!F35</f>
        <v>337739.62800000003</v>
      </c>
    </row>
    <row r="265" spans="1:2">
      <c r="A265" s="274" t="s">
        <v>1395</v>
      </c>
      <c r="B265" s="210">
        <f>'7. Metric trends'!F33</f>
        <v>2039.0583811698941</v>
      </c>
    </row>
    <row r="266" spans="1:2">
      <c r="A266" s="274" t="s">
        <v>1390</v>
      </c>
      <c r="B266" s="210">
        <f>'7. Metric trends'!G34</f>
        <v>6824.7299620063186</v>
      </c>
    </row>
    <row r="267" spans="1:2">
      <c r="A267" s="274" t="s">
        <v>1396</v>
      </c>
      <c r="B267" s="210">
        <f>'7. Metric trends'!G35</f>
        <v>337739.62800000003</v>
      </c>
    </row>
    <row r="268" spans="1:2">
      <c r="A268" s="274" t="s">
        <v>1397</v>
      </c>
      <c r="B268" s="210">
        <f>'7. Metric trends'!G33</f>
        <v>2020.7074906846044</v>
      </c>
    </row>
    <row r="269" spans="1:2">
      <c r="A269" s="274" t="s">
        <v>1391</v>
      </c>
      <c r="B269" s="210">
        <f>'7. Metric trends'!H34</f>
        <v>6762.7517327466148</v>
      </c>
    </row>
    <row r="270" spans="1:2">
      <c r="A270" s="274" t="s">
        <v>1398</v>
      </c>
      <c r="B270" s="210">
        <f>'7. Metric trends'!H35</f>
        <v>339932.73700000002</v>
      </c>
    </row>
    <row r="271" spans="1:2">
      <c r="A271" s="274" t="s">
        <v>1399</v>
      </c>
      <c r="B271" s="210">
        <f>'7. Metric trends'!H33</f>
        <v>1989.4382025190514</v>
      </c>
    </row>
  </sheetData>
  <sheetProtection password="DABD" sheet="1" objects="1" scenarios="1" formatColumns="0" formatRows="0" autoFilter="0"/>
  <pageMargins left="1" right="1" top="1" bottom="1" header="0.5" footer="0.5"/>
  <pageSetup paperSize="9" scale="6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18"/>
  <sheetViews>
    <sheetView workbookViewId="0">
      <pane xSplit="5" ySplit="4" topLeftCell="F202" activePane="bottomRight" state="frozen"/>
      <selection activeCell="J216" sqref="J216:M216"/>
      <selection pane="topRight" activeCell="J216" sqref="J216:M216"/>
      <selection pane="bottomLeft" activeCell="J216" sqref="J216:M216"/>
      <selection pane="bottomRight" activeCell="J216" sqref="J216:M216"/>
    </sheetView>
  </sheetViews>
  <sheetFormatPr defaultColWidth="9.109375" defaultRowHeight="15.05"/>
  <cols>
    <col min="1" max="1" width="14.88671875" style="362" customWidth="1"/>
    <col min="2" max="2" width="6.88671875" style="362" hidden="1" customWidth="1"/>
    <col min="3" max="3" width="17.33203125" style="362" customWidth="1"/>
    <col min="4" max="4" width="6.44140625" style="363" customWidth="1"/>
    <col min="5" max="5" width="38.109375" style="362" customWidth="1"/>
    <col min="6" max="9" width="12.44140625" style="392" customWidth="1"/>
    <col min="10" max="13" width="10.6640625" style="392" customWidth="1"/>
    <col min="14" max="14" width="9.88671875" style="392" customWidth="1"/>
    <col min="15" max="16384" width="9.109375" style="362"/>
  </cols>
  <sheetData>
    <row r="1" spans="1:17" ht="24.05" customHeight="1" thickBot="1">
      <c r="A1" s="361" t="s">
        <v>1194</v>
      </c>
      <c r="D1" s="363" t="s">
        <v>1195</v>
      </c>
      <c r="E1" s="364"/>
      <c r="F1" s="365"/>
      <c r="G1" s="365"/>
      <c r="H1" s="365"/>
      <c r="I1" s="365"/>
      <c r="J1" s="365"/>
      <c r="K1" s="365"/>
      <c r="L1" s="365"/>
      <c r="M1" s="365"/>
      <c r="N1" s="365"/>
      <c r="O1" s="363"/>
    </row>
    <row r="2" spans="1:17" ht="15.05" customHeight="1">
      <c r="A2" s="366"/>
      <c r="B2" s="367"/>
      <c r="C2" s="367"/>
      <c r="D2" s="367"/>
      <c r="E2" s="367"/>
      <c r="F2" s="368" t="s">
        <v>1196</v>
      </c>
      <c r="G2" s="426"/>
      <c r="H2" s="426"/>
      <c r="I2" s="426"/>
      <c r="J2" s="369"/>
      <c r="K2" s="369"/>
      <c r="L2" s="369"/>
      <c r="M2" s="369"/>
      <c r="N2" s="369"/>
      <c r="O2" s="488"/>
      <c r="P2" s="488"/>
      <c r="Q2" s="488"/>
    </row>
    <row r="3" spans="1:17" ht="15.05" customHeight="1">
      <c r="A3" s="428"/>
      <c r="B3" s="429"/>
      <c r="C3" s="429"/>
      <c r="D3" s="429"/>
      <c r="E3" s="429"/>
      <c r="F3" s="430" t="s">
        <v>993</v>
      </c>
      <c r="G3" s="431"/>
      <c r="H3" s="431"/>
      <c r="I3" s="431"/>
      <c r="J3" s="433" t="s">
        <v>994</v>
      </c>
      <c r="K3" s="432"/>
      <c r="L3" s="432"/>
      <c r="M3" s="432"/>
      <c r="N3" s="433" t="s">
        <v>995</v>
      </c>
      <c r="O3" s="488"/>
      <c r="P3" s="488"/>
      <c r="Q3" s="488"/>
    </row>
    <row r="4" spans="1:17" s="374" customFormat="1" ht="38.950000000000003" customHeight="1" thickBot="1">
      <c r="A4" s="370" t="s">
        <v>1197</v>
      </c>
      <c r="B4" s="371" t="s">
        <v>848</v>
      </c>
      <c r="C4" s="372" t="s">
        <v>1198</v>
      </c>
      <c r="D4" s="373" t="s">
        <v>1199</v>
      </c>
      <c r="E4" s="372" t="s">
        <v>1200</v>
      </c>
      <c r="F4" s="434" t="s">
        <v>1271</v>
      </c>
      <c r="G4" s="435" t="s">
        <v>1272</v>
      </c>
      <c r="H4" s="435" t="s">
        <v>1273</v>
      </c>
      <c r="I4" s="435" t="s">
        <v>1274</v>
      </c>
      <c r="J4" s="434" t="s">
        <v>1271</v>
      </c>
      <c r="K4" s="435" t="s">
        <v>1272</v>
      </c>
      <c r="L4" s="435" t="s">
        <v>1273</v>
      </c>
      <c r="M4" s="435" t="s">
        <v>1274</v>
      </c>
      <c r="N4" s="489" t="s">
        <v>1271</v>
      </c>
      <c r="O4" s="490" t="s">
        <v>1272</v>
      </c>
      <c r="P4" s="490" t="s">
        <v>1273</v>
      </c>
      <c r="Q4" s="490" t="s">
        <v>1274</v>
      </c>
    </row>
    <row r="5" spans="1:17">
      <c r="A5" s="375" t="s">
        <v>1201</v>
      </c>
      <c r="B5" s="376" t="s">
        <v>1202</v>
      </c>
      <c r="C5" s="376" t="s">
        <v>1201</v>
      </c>
      <c r="D5" s="376" t="s">
        <v>25</v>
      </c>
      <c r="E5" s="377" t="s">
        <v>1203</v>
      </c>
      <c r="F5" s="378">
        <v>5187</v>
      </c>
      <c r="G5" s="379">
        <v>4926</v>
      </c>
      <c r="H5" s="379">
        <v>4959</v>
      </c>
      <c r="I5" s="436">
        <v>5335</v>
      </c>
      <c r="J5" s="427">
        <v>5208.0941999999995</v>
      </c>
      <c r="K5" s="384">
        <v>4940.6475000000009</v>
      </c>
      <c r="L5" s="384">
        <v>4975.4873000000007</v>
      </c>
      <c r="M5" s="384">
        <v>5361.7991999999995</v>
      </c>
      <c r="N5" s="384">
        <v>5332.5676514500001</v>
      </c>
      <c r="O5" s="384">
        <v>5058.7289752799998</v>
      </c>
      <c r="P5" s="384">
        <v>5094.4014463900003</v>
      </c>
      <c r="Q5" s="384">
        <v>5489.9462008700002</v>
      </c>
    </row>
    <row r="6" spans="1:17">
      <c r="A6" s="380" t="s">
        <v>1201</v>
      </c>
      <c r="B6" s="381" t="s">
        <v>1202</v>
      </c>
      <c r="C6" s="381" t="s">
        <v>1201</v>
      </c>
      <c r="D6" s="381" t="s">
        <v>31</v>
      </c>
      <c r="E6" s="382" t="s">
        <v>30</v>
      </c>
      <c r="F6" s="383">
        <v>7279</v>
      </c>
      <c r="G6" s="384">
        <v>6870</v>
      </c>
      <c r="H6" s="384">
        <v>7441</v>
      </c>
      <c r="I6" s="396">
        <v>7546</v>
      </c>
      <c r="J6" s="427">
        <v>7207.1280000000006</v>
      </c>
      <c r="K6" s="384">
        <v>6915.1693090899998</v>
      </c>
      <c r="L6" s="384">
        <v>7783.9221818099995</v>
      </c>
      <c r="M6" s="384">
        <v>7919.5405090999993</v>
      </c>
      <c r="N6" s="384">
        <v>7195.9698888000003</v>
      </c>
      <c r="O6" s="384">
        <v>6899.0187042799998</v>
      </c>
      <c r="P6" s="384">
        <v>7782.6272511899997</v>
      </c>
      <c r="Q6" s="384">
        <v>7920.5646518300009</v>
      </c>
    </row>
    <row r="7" spans="1:17">
      <c r="A7" s="380" t="s">
        <v>1201</v>
      </c>
      <c r="B7" s="381" t="s">
        <v>1202</v>
      </c>
      <c r="C7" s="381" t="s">
        <v>1201</v>
      </c>
      <c r="D7" s="381" t="s">
        <v>58</v>
      </c>
      <c r="E7" s="382" t="s">
        <v>57</v>
      </c>
      <c r="F7" s="383">
        <v>4835</v>
      </c>
      <c r="G7" s="384">
        <v>4916</v>
      </c>
      <c r="H7" s="384">
        <v>4924</v>
      </c>
      <c r="I7" s="396">
        <v>4862</v>
      </c>
      <c r="J7" s="427">
        <v>4641.3534246700001</v>
      </c>
      <c r="K7" s="384">
        <v>4686.9397260400001</v>
      </c>
      <c r="L7" s="384">
        <v>4715.9397260400001</v>
      </c>
      <c r="M7" s="384">
        <v>4563.7671233000001</v>
      </c>
      <c r="N7" s="384">
        <v>4565.6369863099999</v>
      </c>
      <c r="O7" s="384">
        <v>4611.5890411</v>
      </c>
      <c r="P7" s="384">
        <v>4637.5890411</v>
      </c>
      <c r="Q7" s="384">
        <v>4489.6849315099998</v>
      </c>
    </row>
    <row r="8" spans="1:17">
      <c r="A8" s="380" t="s">
        <v>1201</v>
      </c>
      <c r="B8" s="381" t="s">
        <v>1202</v>
      </c>
      <c r="C8" s="381" t="s">
        <v>1201</v>
      </c>
      <c r="D8" s="381" t="s">
        <v>92</v>
      </c>
      <c r="E8" s="382" t="s">
        <v>91</v>
      </c>
      <c r="F8" s="383">
        <v>7670</v>
      </c>
      <c r="G8" s="384">
        <v>7438</v>
      </c>
      <c r="H8" s="384">
        <v>7714</v>
      </c>
      <c r="I8" s="396">
        <v>7815</v>
      </c>
      <c r="J8" s="427">
        <v>7663</v>
      </c>
      <c r="K8" s="384">
        <v>7403</v>
      </c>
      <c r="L8" s="384">
        <v>7634</v>
      </c>
      <c r="M8" s="384">
        <v>7741</v>
      </c>
      <c r="N8" s="384">
        <v>7377</v>
      </c>
      <c r="O8" s="384">
        <v>7104</v>
      </c>
      <c r="P8" s="384">
        <v>7350</v>
      </c>
      <c r="Q8" s="384">
        <v>7458</v>
      </c>
    </row>
    <row r="9" spans="1:17">
      <c r="A9" s="380" t="s">
        <v>1201</v>
      </c>
      <c r="B9" s="381" t="s">
        <v>1202</v>
      </c>
      <c r="C9" s="381" t="s">
        <v>1201</v>
      </c>
      <c r="D9" s="381" t="s">
        <v>104</v>
      </c>
      <c r="E9" s="382" t="s">
        <v>103</v>
      </c>
      <c r="F9" s="383">
        <v>6230</v>
      </c>
      <c r="G9" s="384">
        <v>6038</v>
      </c>
      <c r="H9" s="384">
        <v>5795</v>
      </c>
      <c r="I9" s="396">
        <v>5896</v>
      </c>
      <c r="J9" s="427">
        <v>5982</v>
      </c>
      <c r="K9" s="384">
        <v>5800</v>
      </c>
      <c r="L9" s="384">
        <v>5663</v>
      </c>
      <c r="M9" s="384">
        <v>5588</v>
      </c>
      <c r="N9" s="384">
        <v>5991</v>
      </c>
      <c r="O9" s="384">
        <v>5807</v>
      </c>
      <c r="P9" s="384">
        <v>5671</v>
      </c>
      <c r="Q9" s="384">
        <v>5596</v>
      </c>
    </row>
    <row r="10" spans="1:17">
      <c r="A10" s="380" t="s">
        <v>1201</v>
      </c>
      <c r="B10" s="381" t="s">
        <v>1202</v>
      </c>
      <c r="C10" s="381" t="s">
        <v>1201</v>
      </c>
      <c r="D10" s="381" t="s">
        <v>119</v>
      </c>
      <c r="E10" s="382" t="s">
        <v>118</v>
      </c>
      <c r="F10" s="383">
        <v>4462</v>
      </c>
      <c r="G10" s="384">
        <v>4434</v>
      </c>
      <c r="H10" s="384">
        <v>4296</v>
      </c>
      <c r="I10" s="396">
        <v>4373</v>
      </c>
      <c r="J10" s="427">
        <v>4550</v>
      </c>
      <c r="K10" s="384">
        <v>4601</v>
      </c>
      <c r="L10" s="384">
        <v>4678</v>
      </c>
      <c r="M10" s="384">
        <v>4706</v>
      </c>
      <c r="N10" s="384">
        <v>4446</v>
      </c>
      <c r="O10" s="384">
        <v>4495</v>
      </c>
      <c r="P10" s="384">
        <v>4573</v>
      </c>
      <c r="Q10" s="384">
        <v>4596</v>
      </c>
    </row>
    <row r="11" spans="1:17">
      <c r="A11" s="380" t="s">
        <v>1201</v>
      </c>
      <c r="B11" s="381" t="s">
        <v>1202</v>
      </c>
      <c r="C11" s="381" t="s">
        <v>1201</v>
      </c>
      <c r="D11" s="381" t="s">
        <v>134</v>
      </c>
      <c r="E11" s="382" t="s">
        <v>133</v>
      </c>
      <c r="F11" s="383">
        <v>3824</v>
      </c>
      <c r="G11" s="384">
        <v>3538</v>
      </c>
      <c r="H11" s="384">
        <v>3846</v>
      </c>
      <c r="I11" s="396">
        <v>3530</v>
      </c>
      <c r="J11" s="427">
        <v>4004.3726781200003</v>
      </c>
      <c r="K11" s="384">
        <v>3911.8204843699996</v>
      </c>
      <c r="L11" s="384">
        <v>3893.2610826700002</v>
      </c>
      <c r="M11" s="384">
        <v>3539.2456410700006</v>
      </c>
      <c r="N11" s="384">
        <v>3967.8555600700001</v>
      </c>
      <c r="O11" s="384">
        <v>3870.3710229199996</v>
      </c>
      <c r="P11" s="384">
        <v>3853.89129942</v>
      </c>
      <c r="Q11" s="384">
        <v>3494.21190415</v>
      </c>
    </row>
    <row r="12" spans="1:17">
      <c r="A12" s="380" t="s">
        <v>1201</v>
      </c>
      <c r="B12" s="381" t="s">
        <v>1202</v>
      </c>
      <c r="C12" s="381" t="s">
        <v>1201</v>
      </c>
      <c r="D12" s="381" t="s">
        <v>148</v>
      </c>
      <c r="E12" s="382" t="s">
        <v>147</v>
      </c>
      <c r="F12" s="383">
        <v>5972</v>
      </c>
      <c r="G12" s="384">
        <v>5685</v>
      </c>
      <c r="H12" s="384">
        <v>5778</v>
      </c>
      <c r="I12" s="396">
        <v>5538</v>
      </c>
      <c r="J12" s="427">
        <v>7082.75374852</v>
      </c>
      <c r="K12" s="384">
        <v>6673.7160795599993</v>
      </c>
      <c r="L12" s="384">
        <v>7013.1989992100007</v>
      </c>
      <c r="M12" s="384">
        <v>7367.4192090800007</v>
      </c>
      <c r="N12" s="384">
        <v>7319.0596339700005</v>
      </c>
      <c r="O12" s="384">
        <v>6893.6754791000003</v>
      </c>
      <c r="P12" s="384">
        <v>7247.7384578599995</v>
      </c>
      <c r="Q12" s="384">
        <v>7613.6425173400003</v>
      </c>
    </row>
    <row r="13" spans="1:17">
      <c r="A13" s="380" t="s">
        <v>1201</v>
      </c>
      <c r="B13" s="381" t="s">
        <v>1202</v>
      </c>
      <c r="C13" s="381" t="s">
        <v>1201</v>
      </c>
      <c r="D13" s="381" t="s">
        <v>168</v>
      </c>
      <c r="E13" s="382" t="s">
        <v>167</v>
      </c>
      <c r="F13" s="383">
        <v>8891</v>
      </c>
      <c r="G13" s="384">
        <v>9065</v>
      </c>
      <c r="H13" s="384">
        <v>9123</v>
      </c>
      <c r="I13" s="396">
        <v>9042</v>
      </c>
      <c r="J13" s="427">
        <v>8244</v>
      </c>
      <c r="K13" s="384">
        <v>8410</v>
      </c>
      <c r="L13" s="384">
        <v>8376</v>
      </c>
      <c r="M13" s="384">
        <v>8550</v>
      </c>
      <c r="N13" s="384">
        <v>8524</v>
      </c>
      <c r="O13" s="384">
        <v>8696</v>
      </c>
      <c r="P13" s="384">
        <v>8659</v>
      </c>
      <c r="Q13" s="384">
        <v>8839</v>
      </c>
    </row>
    <row r="14" spans="1:17">
      <c r="A14" s="380" t="s">
        <v>1201</v>
      </c>
      <c r="B14" s="381" t="s">
        <v>1202</v>
      </c>
      <c r="C14" s="381" t="s">
        <v>1201</v>
      </c>
      <c r="D14" s="381" t="s">
        <v>197</v>
      </c>
      <c r="E14" s="382" t="s">
        <v>196</v>
      </c>
      <c r="F14" s="383">
        <v>9327</v>
      </c>
      <c r="G14" s="384">
        <v>9641</v>
      </c>
      <c r="H14" s="384">
        <v>9597</v>
      </c>
      <c r="I14" s="396">
        <v>9339</v>
      </c>
      <c r="J14" s="427">
        <v>9834.1696639900001</v>
      </c>
      <c r="K14" s="384">
        <v>9854.4986174999995</v>
      </c>
      <c r="L14" s="384">
        <v>9868.0603602699994</v>
      </c>
      <c r="M14" s="384">
        <v>9620.7562367899991</v>
      </c>
      <c r="N14" s="384">
        <v>9898.0397609899992</v>
      </c>
      <c r="O14" s="384">
        <v>9921.6006576299988</v>
      </c>
      <c r="P14" s="384">
        <v>9934.6583251800002</v>
      </c>
      <c r="Q14" s="384">
        <v>9687.8009440900005</v>
      </c>
    </row>
    <row r="15" spans="1:17">
      <c r="A15" s="380" t="s">
        <v>1201</v>
      </c>
      <c r="B15" s="381" t="s">
        <v>1202</v>
      </c>
      <c r="C15" s="381" t="s">
        <v>1201</v>
      </c>
      <c r="D15" s="381" t="s">
        <v>229</v>
      </c>
      <c r="E15" s="382" t="s">
        <v>1204</v>
      </c>
      <c r="F15" s="383">
        <v>5884</v>
      </c>
      <c r="G15" s="384">
        <v>5693</v>
      </c>
      <c r="H15" s="384">
        <v>6276</v>
      </c>
      <c r="I15" s="396">
        <v>7034</v>
      </c>
      <c r="J15" s="427">
        <v>5963.2311601199999</v>
      </c>
      <c r="K15" s="384">
        <v>5835.5720224500001</v>
      </c>
      <c r="L15" s="384">
        <v>6044.29446818</v>
      </c>
      <c r="M15" s="384">
        <v>5545.2631431300006</v>
      </c>
      <c r="N15" s="384">
        <v>5947.8451607400002</v>
      </c>
      <c r="O15" s="384">
        <v>5818.9189700200004</v>
      </c>
      <c r="P15" s="384">
        <v>6027.9547941500005</v>
      </c>
      <c r="Q15" s="384">
        <v>5535.0590992699999</v>
      </c>
    </row>
    <row r="16" spans="1:17">
      <c r="A16" s="380" t="s">
        <v>1201</v>
      </c>
      <c r="B16" s="381" t="s">
        <v>1202</v>
      </c>
      <c r="C16" s="381" t="s">
        <v>1201</v>
      </c>
      <c r="D16" s="381" t="s">
        <v>260</v>
      </c>
      <c r="E16" s="382" t="s">
        <v>259</v>
      </c>
      <c r="F16" s="383">
        <v>5426</v>
      </c>
      <c r="G16" s="384">
        <v>5333</v>
      </c>
      <c r="H16" s="384">
        <v>5533</v>
      </c>
      <c r="I16" s="396">
        <v>5294</v>
      </c>
      <c r="J16" s="427">
        <v>5396</v>
      </c>
      <c r="K16" s="384">
        <v>5305</v>
      </c>
      <c r="L16" s="384">
        <v>5581</v>
      </c>
      <c r="M16" s="384">
        <v>5165</v>
      </c>
      <c r="N16" s="384">
        <v>5282</v>
      </c>
      <c r="O16" s="384">
        <v>5193</v>
      </c>
      <c r="P16" s="384">
        <v>5462</v>
      </c>
      <c r="Q16" s="384">
        <v>5055</v>
      </c>
    </row>
    <row r="17" spans="1:17">
      <c r="A17" s="380" t="s">
        <v>1201</v>
      </c>
      <c r="B17" s="381" t="s">
        <v>1202</v>
      </c>
      <c r="C17" s="381" t="s">
        <v>1201</v>
      </c>
      <c r="D17" s="381" t="s">
        <v>272</v>
      </c>
      <c r="E17" s="382" t="s">
        <v>271</v>
      </c>
      <c r="F17" s="383">
        <v>4508</v>
      </c>
      <c r="G17" s="384">
        <v>4862</v>
      </c>
      <c r="H17" s="384">
        <v>4836</v>
      </c>
      <c r="I17" s="396">
        <v>4776</v>
      </c>
      <c r="J17" s="427">
        <v>5181.9596901000004</v>
      </c>
      <c r="K17" s="384">
        <v>5325.1787178999994</v>
      </c>
      <c r="L17" s="384">
        <v>5354.3292258000001</v>
      </c>
      <c r="M17" s="384">
        <v>5103.7394377999999</v>
      </c>
      <c r="N17" s="384">
        <v>5108.4638111000004</v>
      </c>
      <c r="O17" s="384">
        <v>5251.8021816999999</v>
      </c>
      <c r="P17" s="384">
        <v>5283.0932378999996</v>
      </c>
      <c r="Q17" s="384">
        <v>5031.0962194000003</v>
      </c>
    </row>
    <row r="18" spans="1:17">
      <c r="A18" s="380" t="s">
        <v>1201</v>
      </c>
      <c r="B18" s="381" t="s">
        <v>1202</v>
      </c>
      <c r="C18" s="381" t="s">
        <v>1201</v>
      </c>
      <c r="D18" s="381" t="s">
        <v>278</v>
      </c>
      <c r="E18" s="382" t="s">
        <v>277</v>
      </c>
      <c r="F18" s="383">
        <v>5891</v>
      </c>
      <c r="G18" s="384">
        <v>5310</v>
      </c>
      <c r="H18" s="384">
        <v>4146</v>
      </c>
      <c r="I18" s="396">
        <v>4706</v>
      </c>
      <c r="J18" s="427">
        <v>43888.426833140002</v>
      </c>
      <c r="K18" s="384">
        <v>45131.492256860001</v>
      </c>
      <c r="L18" s="384">
        <v>41816.601793575996</v>
      </c>
      <c r="M18" s="384">
        <v>42759.825626645601</v>
      </c>
      <c r="N18" s="384">
        <v>6159.6952018599995</v>
      </c>
      <c r="O18" s="384">
        <v>6212.4336236499994</v>
      </c>
      <c r="P18" s="384">
        <v>6398.7967996299994</v>
      </c>
      <c r="Q18" s="384">
        <v>6938.2320413835005</v>
      </c>
    </row>
    <row r="19" spans="1:17">
      <c r="A19" s="380" t="s">
        <v>1201</v>
      </c>
      <c r="B19" s="381" t="s">
        <v>1202</v>
      </c>
      <c r="C19" s="381" t="s">
        <v>1201</v>
      </c>
      <c r="D19" s="381" t="s">
        <v>284</v>
      </c>
      <c r="E19" s="382" t="s">
        <v>283</v>
      </c>
      <c r="F19" s="383">
        <v>5211</v>
      </c>
      <c r="G19" s="384">
        <v>5211</v>
      </c>
      <c r="H19" s="384">
        <v>5276</v>
      </c>
      <c r="I19" s="396">
        <v>5538</v>
      </c>
      <c r="J19" s="427">
        <v>5250</v>
      </c>
      <c r="K19" s="384">
        <v>5022</v>
      </c>
      <c r="L19" s="384">
        <v>5070</v>
      </c>
      <c r="M19" s="384">
        <v>5280</v>
      </c>
      <c r="N19" s="384">
        <v>5204</v>
      </c>
      <c r="O19" s="384">
        <v>4966</v>
      </c>
      <c r="P19" s="384">
        <v>5019</v>
      </c>
      <c r="Q19" s="384">
        <v>5232</v>
      </c>
    </row>
    <row r="20" spans="1:17">
      <c r="A20" s="380" t="s">
        <v>1201</v>
      </c>
      <c r="B20" s="381" t="s">
        <v>1202</v>
      </c>
      <c r="C20" s="381" t="s">
        <v>1201</v>
      </c>
      <c r="D20" s="381" t="s">
        <v>293</v>
      </c>
      <c r="E20" s="382" t="s">
        <v>292</v>
      </c>
      <c r="F20" s="383">
        <v>6496</v>
      </c>
      <c r="G20" s="384">
        <v>6218</v>
      </c>
      <c r="H20" s="384">
        <v>6176</v>
      </c>
      <c r="I20" s="396">
        <v>6776</v>
      </c>
      <c r="J20" s="427">
        <v>6054.7983999999997</v>
      </c>
      <c r="K20" s="384">
        <v>5788.2121999999999</v>
      </c>
      <c r="L20" s="384">
        <v>5753.6575000000003</v>
      </c>
      <c r="M20" s="384">
        <v>6374.4104000000007</v>
      </c>
      <c r="N20" s="384">
        <v>6132.9052992400002</v>
      </c>
      <c r="O20" s="384">
        <v>5862.8801373100005</v>
      </c>
      <c r="P20" s="384">
        <v>5808.2589034299999</v>
      </c>
      <c r="Q20" s="384">
        <v>6389.7591775699993</v>
      </c>
    </row>
    <row r="21" spans="1:17">
      <c r="A21" s="380" t="s">
        <v>1201</v>
      </c>
      <c r="B21" s="381" t="s">
        <v>1202</v>
      </c>
      <c r="C21" s="381" t="s">
        <v>1201</v>
      </c>
      <c r="D21" s="381" t="s">
        <v>308</v>
      </c>
      <c r="E21" s="382" t="s">
        <v>307</v>
      </c>
      <c r="F21" s="383">
        <v>6461</v>
      </c>
      <c r="G21" s="384">
        <v>6258</v>
      </c>
      <c r="H21" s="384">
        <v>6781</v>
      </c>
      <c r="I21" s="396">
        <v>7025</v>
      </c>
      <c r="J21" s="427">
        <v>5741</v>
      </c>
      <c r="K21" s="384">
        <v>5529</v>
      </c>
      <c r="L21" s="384">
        <v>6075</v>
      </c>
      <c r="M21" s="384">
        <v>6295</v>
      </c>
      <c r="N21" s="384">
        <v>5543</v>
      </c>
      <c r="O21" s="384">
        <v>5318</v>
      </c>
      <c r="P21" s="384">
        <v>5893</v>
      </c>
      <c r="Q21" s="384">
        <v>6121</v>
      </c>
    </row>
    <row r="22" spans="1:17">
      <c r="A22" s="380" t="s">
        <v>1201</v>
      </c>
      <c r="B22" s="381" t="s">
        <v>1202</v>
      </c>
      <c r="C22" s="381" t="s">
        <v>1201</v>
      </c>
      <c r="D22" s="381" t="s">
        <v>314</v>
      </c>
      <c r="E22" s="382" t="s">
        <v>313</v>
      </c>
      <c r="F22" s="383">
        <v>5669</v>
      </c>
      <c r="G22" s="384">
        <v>5648</v>
      </c>
      <c r="H22" s="384">
        <v>6085</v>
      </c>
      <c r="I22" s="396">
        <v>6036</v>
      </c>
      <c r="J22" s="427">
        <v>7003.4495982200006</v>
      </c>
      <c r="K22" s="384">
        <v>7049.533901660001</v>
      </c>
      <c r="L22" s="384">
        <v>7054.1455813200009</v>
      </c>
      <c r="M22" s="384">
        <v>6918.0271214900004</v>
      </c>
      <c r="N22" s="384">
        <v>6940.4282494300005</v>
      </c>
      <c r="O22" s="384">
        <v>6990.5542999600002</v>
      </c>
      <c r="P22" s="384">
        <v>6994.2151445700001</v>
      </c>
      <c r="Q22" s="384">
        <v>6859.3040401199996</v>
      </c>
    </row>
    <row r="23" spans="1:17">
      <c r="A23" s="380" t="s">
        <v>1201</v>
      </c>
      <c r="B23" s="381" t="s">
        <v>1202</v>
      </c>
      <c r="C23" s="381" t="s">
        <v>1201</v>
      </c>
      <c r="D23" s="381" t="s">
        <v>326</v>
      </c>
      <c r="E23" s="382" t="s">
        <v>325</v>
      </c>
      <c r="F23" s="383">
        <v>4913</v>
      </c>
      <c r="G23" s="384">
        <v>4280</v>
      </c>
      <c r="H23" s="384">
        <v>2812</v>
      </c>
      <c r="I23" s="396">
        <v>2873</v>
      </c>
      <c r="J23" s="427">
        <v>4873.8485000000001</v>
      </c>
      <c r="K23" s="384">
        <v>5046.9032054199997</v>
      </c>
      <c r="L23" s="384">
        <v>5218.7576294600003</v>
      </c>
      <c r="M23" s="384">
        <v>5308.98638639</v>
      </c>
      <c r="N23" s="384">
        <v>4800.8773482500001</v>
      </c>
      <c r="O23" s="384">
        <v>4970.2652057300002</v>
      </c>
      <c r="P23" s="384">
        <v>5139.4558862100002</v>
      </c>
      <c r="Q23" s="384">
        <v>5228.2705974099999</v>
      </c>
    </row>
    <row r="24" spans="1:17">
      <c r="A24" s="380" t="s">
        <v>1201</v>
      </c>
      <c r="B24" s="381" t="s">
        <v>1202</v>
      </c>
      <c r="C24" s="381" t="s">
        <v>1201</v>
      </c>
      <c r="D24" s="381" t="s">
        <v>332</v>
      </c>
      <c r="E24" s="382" t="s">
        <v>331</v>
      </c>
      <c r="F24" s="383">
        <v>3150</v>
      </c>
      <c r="G24" s="384">
        <v>3174</v>
      </c>
      <c r="H24" s="384">
        <v>3103</v>
      </c>
      <c r="I24" s="396">
        <v>3223</v>
      </c>
      <c r="J24" s="427">
        <v>3158</v>
      </c>
      <c r="K24" s="384">
        <v>3180</v>
      </c>
      <c r="L24" s="384">
        <v>3106</v>
      </c>
      <c r="M24" s="384">
        <v>3247</v>
      </c>
      <c r="N24" s="384">
        <v>3081</v>
      </c>
      <c r="O24" s="384">
        <v>3102</v>
      </c>
      <c r="P24" s="384">
        <v>3029</v>
      </c>
      <c r="Q24" s="384">
        <v>3168</v>
      </c>
    </row>
    <row r="25" spans="1:17">
      <c r="A25" s="380" t="s">
        <v>1201</v>
      </c>
      <c r="B25" s="381" t="s">
        <v>1202</v>
      </c>
      <c r="C25" s="381" t="s">
        <v>1201</v>
      </c>
      <c r="D25" s="381" t="s">
        <v>338</v>
      </c>
      <c r="E25" s="382" t="s">
        <v>337</v>
      </c>
      <c r="F25" s="383">
        <v>6996</v>
      </c>
      <c r="G25" s="384">
        <v>7462</v>
      </c>
      <c r="H25" s="384">
        <v>7395</v>
      </c>
      <c r="I25" s="396">
        <v>7181</v>
      </c>
      <c r="J25" s="427">
        <v>6970</v>
      </c>
      <c r="K25" s="384">
        <v>7432</v>
      </c>
      <c r="L25" s="384">
        <v>7128</v>
      </c>
      <c r="M25" s="384">
        <v>6805</v>
      </c>
      <c r="N25" s="384">
        <v>6941</v>
      </c>
      <c r="O25" s="384">
        <v>7403</v>
      </c>
      <c r="P25" s="384">
        <v>7101</v>
      </c>
      <c r="Q25" s="384">
        <v>6779</v>
      </c>
    </row>
    <row r="26" spans="1:17">
      <c r="A26" s="380" t="s">
        <v>1201</v>
      </c>
      <c r="B26" s="381" t="s">
        <v>1202</v>
      </c>
      <c r="C26" s="381" t="s">
        <v>1201</v>
      </c>
      <c r="D26" s="381" t="s">
        <v>356</v>
      </c>
      <c r="E26" s="382" t="s">
        <v>355</v>
      </c>
      <c r="F26" s="383">
        <v>6062</v>
      </c>
      <c r="G26" s="384">
        <v>6367</v>
      </c>
      <c r="H26" s="384">
        <v>6101</v>
      </c>
      <c r="I26" s="396">
        <v>5897</v>
      </c>
      <c r="J26" s="427">
        <v>6318.6849316000007</v>
      </c>
      <c r="K26" s="384">
        <v>6472.9452056</v>
      </c>
      <c r="L26" s="384">
        <v>6405.9452056000009</v>
      </c>
      <c r="M26" s="384">
        <v>6266.4246576000005</v>
      </c>
      <c r="N26" s="384">
        <v>6323.2349316</v>
      </c>
      <c r="O26" s="384">
        <v>6477.5452056000004</v>
      </c>
      <c r="P26" s="384">
        <v>6410.5452055999995</v>
      </c>
      <c r="Q26" s="384">
        <v>6270.9246576000005</v>
      </c>
    </row>
    <row r="27" spans="1:17">
      <c r="A27" s="380" t="s">
        <v>1201</v>
      </c>
      <c r="B27" s="381" t="s">
        <v>1202</v>
      </c>
      <c r="C27" s="381" t="s">
        <v>1201</v>
      </c>
      <c r="D27" s="381" t="s">
        <v>377</v>
      </c>
      <c r="E27" s="382" t="s">
        <v>376</v>
      </c>
      <c r="F27" s="383">
        <v>3879</v>
      </c>
      <c r="G27" s="384">
        <v>3808</v>
      </c>
      <c r="H27" s="384">
        <v>4191</v>
      </c>
      <c r="I27" s="396">
        <v>3962</v>
      </c>
      <c r="J27" s="427">
        <v>3965</v>
      </c>
      <c r="K27" s="384">
        <v>3935</v>
      </c>
      <c r="L27" s="384">
        <v>4170</v>
      </c>
      <c r="M27" s="384">
        <v>4051</v>
      </c>
      <c r="N27" s="384">
        <v>4061</v>
      </c>
      <c r="O27" s="384">
        <v>4030</v>
      </c>
      <c r="P27" s="384">
        <v>4272</v>
      </c>
      <c r="Q27" s="384">
        <v>4149</v>
      </c>
    </row>
    <row r="28" spans="1:17">
      <c r="A28" s="380" t="s">
        <v>1201</v>
      </c>
      <c r="B28" s="381" t="s">
        <v>1202</v>
      </c>
      <c r="C28" s="381" t="s">
        <v>1201</v>
      </c>
      <c r="D28" s="381" t="s">
        <v>401</v>
      </c>
      <c r="E28" s="382" t="s">
        <v>400</v>
      </c>
      <c r="F28" s="383">
        <v>7441</v>
      </c>
      <c r="G28" s="384">
        <v>7626</v>
      </c>
      <c r="H28" s="384">
        <v>8091</v>
      </c>
      <c r="I28" s="396">
        <v>7845</v>
      </c>
      <c r="J28" s="427">
        <v>7424</v>
      </c>
      <c r="K28" s="384">
        <v>7560</v>
      </c>
      <c r="L28" s="384">
        <v>7968</v>
      </c>
      <c r="M28" s="384">
        <v>7667</v>
      </c>
      <c r="N28" s="384">
        <v>7349</v>
      </c>
      <c r="O28" s="384">
        <v>7484</v>
      </c>
      <c r="P28" s="384">
        <v>7893</v>
      </c>
      <c r="Q28" s="384">
        <v>7590</v>
      </c>
    </row>
    <row r="29" spans="1:17">
      <c r="A29" s="380" t="s">
        <v>1201</v>
      </c>
      <c r="B29" s="381" t="s">
        <v>1202</v>
      </c>
      <c r="C29" s="381" t="s">
        <v>1201</v>
      </c>
      <c r="D29" s="381" t="s">
        <v>476</v>
      </c>
      <c r="E29" s="382" t="s">
        <v>475</v>
      </c>
      <c r="F29" s="383">
        <v>6721</v>
      </c>
      <c r="G29" s="384">
        <v>6519</v>
      </c>
      <c r="H29" s="384">
        <v>6597</v>
      </c>
      <c r="I29" s="396">
        <v>7249</v>
      </c>
      <c r="J29" s="427">
        <v>6755.0676000000003</v>
      </c>
      <c r="K29" s="384">
        <v>6417.0079999999998</v>
      </c>
      <c r="L29" s="384">
        <v>6458.5788000000011</v>
      </c>
      <c r="M29" s="384">
        <v>7150.8592000000008</v>
      </c>
      <c r="N29" s="384">
        <v>6886.4989182000008</v>
      </c>
      <c r="O29" s="384">
        <v>6541.8471559999998</v>
      </c>
      <c r="P29" s="384">
        <v>6584.2285866000002</v>
      </c>
      <c r="Q29" s="384">
        <v>8090.9531418999995</v>
      </c>
    </row>
    <row r="30" spans="1:17">
      <c r="A30" s="380" t="s">
        <v>1201</v>
      </c>
      <c r="B30" s="381" t="s">
        <v>1202</v>
      </c>
      <c r="C30" s="381" t="s">
        <v>1201</v>
      </c>
      <c r="D30" s="381" t="s">
        <v>482</v>
      </c>
      <c r="E30" s="382" t="s">
        <v>481</v>
      </c>
      <c r="F30" s="383">
        <v>3256</v>
      </c>
      <c r="G30" s="384">
        <v>3132</v>
      </c>
      <c r="H30" s="384">
        <v>3332</v>
      </c>
      <c r="I30" s="396">
        <v>3285</v>
      </c>
      <c r="J30" s="427">
        <v>3231</v>
      </c>
      <c r="K30" s="384">
        <v>3106</v>
      </c>
      <c r="L30" s="384">
        <v>3249</v>
      </c>
      <c r="M30" s="384">
        <v>3335</v>
      </c>
      <c r="N30" s="384">
        <v>3200</v>
      </c>
      <c r="O30" s="384">
        <v>3071</v>
      </c>
      <c r="P30" s="384">
        <v>3216</v>
      </c>
      <c r="Q30" s="384">
        <v>3303</v>
      </c>
    </row>
    <row r="31" spans="1:17">
      <c r="A31" s="380" t="s">
        <v>1201</v>
      </c>
      <c r="B31" s="381" t="s">
        <v>1202</v>
      </c>
      <c r="C31" s="381" t="s">
        <v>1201</v>
      </c>
      <c r="D31" s="381" t="s">
        <v>556</v>
      </c>
      <c r="E31" s="382" t="s">
        <v>555</v>
      </c>
      <c r="F31" s="383">
        <v>6065</v>
      </c>
      <c r="G31" s="384">
        <v>6122</v>
      </c>
      <c r="H31" s="384">
        <v>6150</v>
      </c>
      <c r="I31" s="396">
        <v>5782</v>
      </c>
      <c r="J31" s="427">
        <v>5760</v>
      </c>
      <c r="K31" s="384">
        <v>5814</v>
      </c>
      <c r="L31" s="384">
        <v>5697</v>
      </c>
      <c r="M31" s="384">
        <v>5124</v>
      </c>
      <c r="N31" s="384">
        <v>5615</v>
      </c>
      <c r="O31" s="384">
        <v>5669</v>
      </c>
      <c r="P31" s="384">
        <v>5554</v>
      </c>
      <c r="Q31" s="384">
        <v>4996</v>
      </c>
    </row>
    <row r="32" spans="1:17">
      <c r="A32" s="380" t="s">
        <v>1201</v>
      </c>
      <c r="B32" s="381" t="s">
        <v>1202</v>
      </c>
      <c r="C32" s="381" t="s">
        <v>1201</v>
      </c>
      <c r="D32" s="381" t="s">
        <v>572</v>
      </c>
      <c r="E32" s="382" t="s">
        <v>571</v>
      </c>
      <c r="F32" s="383">
        <v>3872</v>
      </c>
      <c r="G32" s="384">
        <v>3928</v>
      </c>
      <c r="H32" s="384">
        <v>4423</v>
      </c>
      <c r="I32" s="396">
        <v>4266</v>
      </c>
      <c r="J32" s="427">
        <v>3807</v>
      </c>
      <c r="K32" s="384">
        <v>3860</v>
      </c>
      <c r="L32" s="384">
        <v>4140</v>
      </c>
      <c r="M32" s="384">
        <v>4012</v>
      </c>
      <c r="N32" s="384">
        <v>3662</v>
      </c>
      <c r="O32" s="384">
        <v>3715</v>
      </c>
      <c r="P32" s="384">
        <v>3984</v>
      </c>
      <c r="Q32" s="384">
        <v>3859</v>
      </c>
    </row>
    <row r="33" spans="1:17">
      <c r="A33" s="380" t="s">
        <v>1201</v>
      </c>
      <c r="B33" s="381" t="s">
        <v>1202</v>
      </c>
      <c r="C33" s="381" t="s">
        <v>1201</v>
      </c>
      <c r="D33" s="381" t="s">
        <v>586</v>
      </c>
      <c r="E33" s="382" t="s">
        <v>585</v>
      </c>
      <c r="F33" s="383">
        <v>5609</v>
      </c>
      <c r="G33" s="384">
        <v>5066</v>
      </c>
      <c r="H33" s="384">
        <v>5424</v>
      </c>
      <c r="I33" s="396">
        <v>5005</v>
      </c>
      <c r="J33" s="427">
        <v>5494</v>
      </c>
      <c r="K33" s="384">
        <v>4888</v>
      </c>
      <c r="L33" s="384">
        <v>5227</v>
      </c>
      <c r="M33" s="384">
        <v>4733</v>
      </c>
      <c r="N33" s="384">
        <v>5623</v>
      </c>
      <c r="O33" s="384">
        <v>5002</v>
      </c>
      <c r="P33" s="384">
        <v>5350</v>
      </c>
      <c r="Q33" s="384">
        <v>4843</v>
      </c>
    </row>
    <row r="34" spans="1:17">
      <c r="A34" s="380" t="s">
        <v>1201</v>
      </c>
      <c r="B34" s="381" t="s">
        <v>1202</v>
      </c>
      <c r="C34" s="381" t="s">
        <v>1201</v>
      </c>
      <c r="D34" s="381" t="s">
        <v>598</v>
      </c>
      <c r="E34" s="382" t="s">
        <v>597</v>
      </c>
      <c r="F34" s="383">
        <v>7357</v>
      </c>
      <c r="G34" s="384">
        <v>7038</v>
      </c>
      <c r="H34" s="384">
        <v>7661</v>
      </c>
      <c r="I34" s="396">
        <v>7187</v>
      </c>
      <c r="J34" s="427">
        <v>7565</v>
      </c>
      <c r="K34" s="384">
        <v>7244</v>
      </c>
      <c r="L34" s="384">
        <v>7873</v>
      </c>
      <c r="M34" s="384">
        <v>7393</v>
      </c>
      <c r="N34" s="384">
        <v>7929</v>
      </c>
      <c r="O34" s="384">
        <v>7465</v>
      </c>
      <c r="P34" s="384">
        <v>7996</v>
      </c>
      <c r="Q34" s="384">
        <v>6787</v>
      </c>
    </row>
    <row r="35" spans="1:17">
      <c r="A35" s="380" t="s">
        <v>1201</v>
      </c>
      <c r="B35" s="381" t="s">
        <v>1202</v>
      </c>
      <c r="C35" s="381" t="s">
        <v>1201</v>
      </c>
      <c r="D35" s="381" t="s">
        <v>600</v>
      </c>
      <c r="E35" s="382" t="s">
        <v>599</v>
      </c>
      <c r="F35" s="383">
        <v>6258</v>
      </c>
      <c r="G35" s="384">
        <v>6250</v>
      </c>
      <c r="H35" s="384">
        <v>6301</v>
      </c>
      <c r="I35" s="396">
        <v>5999</v>
      </c>
      <c r="J35" s="427">
        <v>6722</v>
      </c>
      <c r="K35" s="384">
        <v>6688</v>
      </c>
      <c r="L35" s="384">
        <v>6859</v>
      </c>
      <c r="M35" s="384">
        <v>6849</v>
      </c>
      <c r="N35" s="384">
        <v>6820</v>
      </c>
      <c r="O35" s="384">
        <v>6787</v>
      </c>
      <c r="P35" s="384">
        <v>6961</v>
      </c>
      <c r="Q35" s="384">
        <v>6947</v>
      </c>
    </row>
    <row r="36" spans="1:17">
      <c r="A36" s="380" t="s">
        <v>1201</v>
      </c>
      <c r="B36" s="381" t="s">
        <v>1202</v>
      </c>
      <c r="C36" s="381" t="s">
        <v>1201</v>
      </c>
      <c r="D36" s="381" t="s">
        <v>618</v>
      </c>
      <c r="E36" s="382" t="s">
        <v>617</v>
      </c>
      <c r="F36" s="383">
        <v>4501</v>
      </c>
      <c r="G36" s="384">
        <v>4542</v>
      </c>
      <c r="H36" s="384">
        <v>4494</v>
      </c>
      <c r="I36" s="396">
        <v>4415</v>
      </c>
      <c r="J36" s="427">
        <v>5085.1440316999997</v>
      </c>
      <c r="K36" s="384">
        <v>5085.5795832999993</v>
      </c>
      <c r="L36" s="384">
        <v>4889.0512041000002</v>
      </c>
      <c r="M36" s="384">
        <v>5156.3385308500001</v>
      </c>
      <c r="N36" s="384">
        <v>4981.4445997000003</v>
      </c>
      <c r="O36" s="384">
        <v>4980.9808446000006</v>
      </c>
      <c r="P36" s="384">
        <v>4783.5710503999999</v>
      </c>
      <c r="Q36" s="384">
        <v>5055.3585152199994</v>
      </c>
    </row>
    <row r="37" spans="1:17">
      <c r="A37" s="380" t="s">
        <v>1205</v>
      </c>
      <c r="B37" s="381" t="s">
        <v>937</v>
      </c>
      <c r="C37" s="381" t="s">
        <v>1206</v>
      </c>
      <c r="D37" s="381" t="s">
        <v>160</v>
      </c>
      <c r="E37" s="382" t="s">
        <v>159</v>
      </c>
      <c r="F37" s="383">
        <v>10964</v>
      </c>
      <c r="G37" s="384">
        <v>10759</v>
      </c>
      <c r="H37" s="384">
        <v>11297</v>
      </c>
      <c r="I37" s="396">
        <v>11000</v>
      </c>
      <c r="J37" s="427">
        <v>10660.566028177</v>
      </c>
      <c r="K37" s="384">
        <v>10777.715105378</v>
      </c>
      <c r="L37" s="384">
        <v>10777.715105378</v>
      </c>
      <c r="M37" s="384">
        <v>10543.416950957</v>
      </c>
      <c r="N37" s="384">
        <v>10200.971511814001</v>
      </c>
      <c r="O37" s="384">
        <v>10313.070099947001</v>
      </c>
      <c r="P37" s="384">
        <v>10313.070099947001</v>
      </c>
      <c r="Q37" s="384">
        <v>10200.971511914</v>
      </c>
    </row>
    <row r="38" spans="1:17">
      <c r="A38" s="380" t="s">
        <v>1205</v>
      </c>
      <c r="B38" s="381" t="s">
        <v>937</v>
      </c>
      <c r="C38" s="381" t="s">
        <v>1206</v>
      </c>
      <c r="D38" s="381" t="s">
        <v>296</v>
      </c>
      <c r="E38" s="382" t="s">
        <v>295</v>
      </c>
      <c r="F38" s="383">
        <v>3702</v>
      </c>
      <c r="G38" s="384">
        <v>3704</v>
      </c>
      <c r="H38" s="384">
        <v>4011</v>
      </c>
      <c r="I38" s="396">
        <v>4351</v>
      </c>
      <c r="J38" s="427">
        <v>3581</v>
      </c>
      <c r="K38" s="384">
        <v>3300</v>
      </c>
      <c r="L38" s="384">
        <v>3626</v>
      </c>
      <c r="M38" s="384">
        <v>3559</v>
      </c>
      <c r="N38" s="384">
        <v>3394</v>
      </c>
      <c r="O38" s="384">
        <v>3152</v>
      </c>
      <c r="P38" s="384">
        <v>3529</v>
      </c>
      <c r="Q38" s="384">
        <v>3523</v>
      </c>
    </row>
    <row r="39" spans="1:17">
      <c r="A39" s="380" t="s">
        <v>1205</v>
      </c>
      <c r="B39" s="381" t="s">
        <v>937</v>
      </c>
      <c r="C39" s="381" t="s">
        <v>1206</v>
      </c>
      <c r="D39" s="381" t="s">
        <v>479</v>
      </c>
      <c r="E39" s="382" t="s">
        <v>478</v>
      </c>
      <c r="F39" s="383">
        <v>4417</v>
      </c>
      <c r="G39" s="384">
        <v>4163</v>
      </c>
      <c r="H39" s="384">
        <v>4382</v>
      </c>
      <c r="I39" s="396">
        <v>4307</v>
      </c>
      <c r="J39" s="427">
        <v>4139</v>
      </c>
      <c r="K39" s="384">
        <v>4102</v>
      </c>
      <c r="L39" s="384">
        <v>4405</v>
      </c>
      <c r="M39" s="384">
        <v>4214</v>
      </c>
      <c r="N39" s="384">
        <v>4025</v>
      </c>
      <c r="O39" s="384">
        <v>3987</v>
      </c>
      <c r="P39" s="384">
        <v>4282</v>
      </c>
      <c r="Q39" s="384">
        <v>4102</v>
      </c>
    </row>
    <row r="40" spans="1:17">
      <c r="A40" s="380" t="s">
        <v>1205</v>
      </c>
      <c r="B40" s="381" t="s">
        <v>937</v>
      </c>
      <c r="C40" s="381" t="s">
        <v>1206</v>
      </c>
      <c r="D40" s="381" t="s">
        <v>542</v>
      </c>
      <c r="E40" s="382" t="s">
        <v>541</v>
      </c>
      <c r="F40" s="383">
        <v>5860</v>
      </c>
      <c r="G40" s="384">
        <v>5944</v>
      </c>
      <c r="H40" s="384">
        <v>6325</v>
      </c>
      <c r="I40" s="396">
        <v>5966</v>
      </c>
      <c r="J40" s="427">
        <v>6023.9506848000001</v>
      </c>
      <c r="K40" s="384">
        <v>6090.1479450900006</v>
      </c>
      <c r="L40" s="384">
        <v>6090.1479450900006</v>
      </c>
      <c r="M40" s="384">
        <v>5957.7534246200012</v>
      </c>
      <c r="N40" s="384">
        <v>6007.49180316</v>
      </c>
      <c r="O40" s="384">
        <v>6073.5081966300004</v>
      </c>
      <c r="P40" s="384">
        <v>6073.5081966300004</v>
      </c>
      <c r="Q40" s="384">
        <v>6007.4918032500009</v>
      </c>
    </row>
    <row r="41" spans="1:17">
      <c r="A41" s="380" t="s">
        <v>1205</v>
      </c>
      <c r="B41" s="381" t="s">
        <v>937</v>
      </c>
      <c r="C41" s="381" t="s">
        <v>1206</v>
      </c>
      <c r="D41" s="381" t="s">
        <v>546</v>
      </c>
      <c r="E41" s="382" t="s">
        <v>545</v>
      </c>
      <c r="F41" s="383">
        <v>6270</v>
      </c>
      <c r="G41" s="384">
        <v>6113</v>
      </c>
      <c r="H41" s="384">
        <v>6718</v>
      </c>
      <c r="I41" s="396">
        <v>6298</v>
      </c>
      <c r="J41" s="427">
        <v>6019</v>
      </c>
      <c r="K41" s="384">
        <v>5878</v>
      </c>
      <c r="L41" s="384">
        <v>6448</v>
      </c>
      <c r="M41" s="384">
        <v>5922</v>
      </c>
      <c r="N41" s="384">
        <v>5724</v>
      </c>
      <c r="O41" s="384">
        <v>5375</v>
      </c>
      <c r="P41" s="384">
        <v>6127</v>
      </c>
      <c r="Q41" s="384">
        <v>5510</v>
      </c>
    </row>
    <row r="42" spans="1:17">
      <c r="A42" s="380" t="s">
        <v>1205</v>
      </c>
      <c r="B42" s="381" t="s">
        <v>937</v>
      </c>
      <c r="C42" s="381" t="s">
        <v>1206</v>
      </c>
      <c r="D42" s="381" t="s">
        <v>604</v>
      </c>
      <c r="E42" s="382" t="s">
        <v>603</v>
      </c>
      <c r="F42" s="383">
        <v>4246</v>
      </c>
      <c r="G42" s="384">
        <v>3969</v>
      </c>
      <c r="H42" s="384">
        <v>4170</v>
      </c>
      <c r="I42" s="396">
        <v>4316</v>
      </c>
      <c r="J42" s="427">
        <v>4056.2820679460001</v>
      </c>
      <c r="K42" s="384">
        <v>4100.8565961730001</v>
      </c>
      <c r="L42" s="384">
        <v>4100.8565961730001</v>
      </c>
      <c r="M42" s="384">
        <v>4011.7075397400004</v>
      </c>
      <c r="N42" s="384">
        <v>3888.5551228289996</v>
      </c>
      <c r="O42" s="384">
        <v>3934.1985857110003</v>
      </c>
      <c r="P42" s="384">
        <v>3934.1985857110003</v>
      </c>
      <c r="Q42" s="384">
        <v>3863.5551228180002</v>
      </c>
    </row>
    <row r="43" spans="1:17">
      <c r="A43" s="380" t="s">
        <v>1205</v>
      </c>
      <c r="B43" s="381" t="s">
        <v>937</v>
      </c>
      <c r="C43" s="381" t="s">
        <v>1206</v>
      </c>
      <c r="D43" s="381" t="s">
        <v>636</v>
      </c>
      <c r="E43" s="382" t="s">
        <v>635</v>
      </c>
      <c r="F43" s="383">
        <v>2102</v>
      </c>
      <c r="G43" s="384">
        <v>2119</v>
      </c>
      <c r="H43" s="384">
        <v>2292</v>
      </c>
      <c r="I43" s="396">
        <v>2066</v>
      </c>
      <c r="J43" s="427">
        <v>2108</v>
      </c>
      <c r="K43" s="384">
        <v>2059</v>
      </c>
      <c r="L43" s="384">
        <v>2211</v>
      </c>
      <c r="M43" s="384">
        <v>2104</v>
      </c>
      <c r="N43" s="384">
        <v>2019</v>
      </c>
      <c r="O43" s="384">
        <v>2016</v>
      </c>
      <c r="P43" s="384">
        <v>2203</v>
      </c>
      <c r="Q43" s="384">
        <v>2096</v>
      </c>
    </row>
    <row r="44" spans="1:17">
      <c r="A44" s="380" t="s">
        <v>1205</v>
      </c>
      <c r="B44" s="381" t="s">
        <v>909</v>
      </c>
      <c r="C44" s="381" t="s">
        <v>1207</v>
      </c>
      <c r="D44" s="381" t="s">
        <v>1208</v>
      </c>
      <c r="E44" s="382" t="s">
        <v>1209</v>
      </c>
      <c r="F44" s="383">
        <v>19016</v>
      </c>
      <c r="G44" s="384">
        <v>18797</v>
      </c>
      <c r="H44" s="384">
        <v>19960</v>
      </c>
      <c r="I44" s="396">
        <v>20013</v>
      </c>
      <c r="J44" s="427">
        <v>19591.77</v>
      </c>
      <c r="K44" s="384">
        <v>19591.77</v>
      </c>
      <c r="L44" s="384">
        <v>19591.77</v>
      </c>
      <c r="M44" s="384">
        <v>19591.77</v>
      </c>
      <c r="N44" s="384">
        <v>19572.72</v>
      </c>
      <c r="O44" s="384">
        <v>19572.72</v>
      </c>
      <c r="P44" s="384">
        <v>19572.72</v>
      </c>
      <c r="Q44" s="384">
        <v>19572.72</v>
      </c>
    </row>
    <row r="45" spans="1:17">
      <c r="A45" s="380" t="s">
        <v>1205</v>
      </c>
      <c r="B45" s="381" t="s">
        <v>909</v>
      </c>
      <c r="C45" s="381" t="s">
        <v>1207</v>
      </c>
      <c r="D45" s="381" t="s">
        <v>66</v>
      </c>
      <c r="E45" s="382" t="s">
        <v>65</v>
      </c>
      <c r="F45" s="383">
        <v>5740</v>
      </c>
      <c r="G45" s="384">
        <v>5506</v>
      </c>
      <c r="H45" s="384">
        <v>5716</v>
      </c>
      <c r="I45" s="396">
        <v>5845</v>
      </c>
      <c r="J45" s="427">
        <v>5884.5250000000005</v>
      </c>
      <c r="K45" s="384">
        <v>5647.75</v>
      </c>
      <c r="L45" s="384">
        <v>5857.875</v>
      </c>
      <c r="M45" s="384">
        <v>5988.05</v>
      </c>
      <c r="N45" s="384">
        <v>6031.6381249999995</v>
      </c>
      <c r="O45" s="384">
        <v>5788.9437500000004</v>
      </c>
      <c r="P45" s="384">
        <v>6004.3218749999996</v>
      </c>
      <c r="Q45" s="384">
        <v>6137.7512500000003</v>
      </c>
    </row>
    <row r="46" spans="1:17">
      <c r="A46" s="380" t="s">
        <v>1205</v>
      </c>
      <c r="B46" s="381" t="s">
        <v>909</v>
      </c>
      <c r="C46" s="381" t="s">
        <v>1207</v>
      </c>
      <c r="D46" s="381" t="s">
        <v>190</v>
      </c>
      <c r="E46" s="382" t="s">
        <v>189</v>
      </c>
      <c r="F46" s="383">
        <v>8138</v>
      </c>
      <c r="G46" s="384">
        <v>8125</v>
      </c>
      <c r="H46" s="384">
        <v>8305</v>
      </c>
      <c r="I46" s="396">
        <v>8659</v>
      </c>
      <c r="J46" s="427">
        <v>7991</v>
      </c>
      <c r="K46" s="384">
        <v>8080</v>
      </c>
      <c r="L46" s="384">
        <v>8080</v>
      </c>
      <c r="M46" s="384">
        <v>7905</v>
      </c>
      <c r="N46" s="384">
        <v>7610</v>
      </c>
      <c r="O46" s="384">
        <v>7696</v>
      </c>
      <c r="P46" s="384">
        <v>7696</v>
      </c>
      <c r="Q46" s="384">
        <v>7529</v>
      </c>
    </row>
    <row r="47" spans="1:17">
      <c r="A47" s="380" t="s">
        <v>1205</v>
      </c>
      <c r="B47" s="381" t="s">
        <v>909</v>
      </c>
      <c r="C47" s="381" t="s">
        <v>1207</v>
      </c>
      <c r="D47" s="381" t="s">
        <v>494</v>
      </c>
      <c r="E47" s="382" t="s">
        <v>493</v>
      </c>
      <c r="F47" s="383">
        <v>15153</v>
      </c>
      <c r="G47" s="384">
        <v>14881</v>
      </c>
      <c r="H47" s="384">
        <v>15440</v>
      </c>
      <c r="I47" s="396">
        <v>15448</v>
      </c>
      <c r="J47" s="427">
        <v>15549.0061498909</v>
      </c>
      <c r="K47" s="384">
        <v>15548.0061498909</v>
      </c>
      <c r="L47" s="384">
        <v>15548.0061498909</v>
      </c>
      <c r="M47" s="384">
        <v>15548.0061498909</v>
      </c>
      <c r="N47" s="384">
        <v>15881.7334817191</v>
      </c>
      <c r="O47" s="384">
        <v>15880.7334817191</v>
      </c>
      <c r="P47" s="384">
        <v>15880.7334817191</v>
      </c>
      <c r="Q47" s="384">
        <v>15880.7334817191</v>
      </c>
    </row>
    <row r="48" spans="1:17">
      <c r="A48" s="380" t="s">
        <v>1205</v>
      </c>
      <c r="B48" s="381" t="s">
        <v>909</v>
      </c>
      <c r="C48" s="381" t="s">
        <v>1207</v>
      </c>
      <c r="D48" s="381" t="s">
        <v>509</v>
      </c>
      <c r="E48" s="382" t="s">
        <v>508</v>
      </c>
      <c r="F48" s="383">
        <v>6298</v>
      </c>
      <c r="G48" s="384">
        <v>6289</v>
      </c>
      <c r="H48" s="384">
        <v>6651</v>
      </c>
      <c r="I48" s="396">
        <v>6650</v>
      </c>
      <c r="J48" s="427">
        <v>6343.8880371990008</v>
      </c>
      <c r="K48" s="384">
        <v>6066.7187584650001</v>
      </c>
      <c r="L48" s="384">
        <v>6295.0310796779995</v>
      </c>
      <c r="M48" s="384">
        <v>5932.3621248239997</v>
      </c>
      <c r="N48" s="384">
        <v>6119.8770545180005</v>
      </c>
      <c r="O48" s="384">
        <v>5852.4949852999998</v>
      </c>
      <c r="P48" s="384">
        <v>6072.7452999249999</v>
      </c>
      <c r="Q48" s="384">
        <v>5722.8826602459994</v>
      </c>
    </row>
    <row r="49" spans="1:17">
      <c r="A49" s="380" t="s">
        <v>1205</v>
      </c>
      <c r="B49" s="381" t="s">
        <v>909</v>
      </c>
      <c r="C49" s="381" t="s">
        <v>1207</v>
      </c>
      <c r="D49" s="381" t="s">
        <v>596</v>
      </c>
      <c r="E49" s="382" t="s">
        <v>595</v>
      </c>
      <c r="F49" s="383">
        <v>7285</v>
      </c>
      <c r="G49" s="384">
        <v>7064</v>
      </c>
      <c r="H49" s="384">
        <v>7336</v>
      </c>
      <c r="I49" s="396">
        <v>7242</v>
      </c>
      <c r="J49" s="427">
        <v>6953</v>
      </c>
      <c r="K49" s="384">
        <v>7214</v>
      </c>
      <c r="L49" s="384">
        <v>7129</v>
      </c>
      <c r="M49" s="384">
        <v>7042</v>
      </c>
      <c r="N49" s="384">
        <v>6983</v>
      </c>
      <c r="O49" s="384">
        <v>7244</v>
      </c>
      <c r="P49" s="384">
        <v>7160</v>
      </c>
      <c r="Q49" s="384">
        <v>7071</v>
      </c>
    </row>
    <row r="50" spans="1:17">
      <c r="A50" s="380" t="s">
        <v>1205</v>
      </c>
      <c r="B50" s="381" t="s">
        <v>909</v>
      </c>
      <c r="C50" s="381" t="s">
        <v>1207</v>
      </c>
      <c r="D50" s="381" t="s">
        <v>634</v>
      </c>
      <c r="E50" s="382" t="s">
        <v>633</v>
      </c>
      <c r="F50" s="383">
        <v>7296</v>
      </c>
      <c r="G50" s="384">
        <v>6897</v>
      </c>
      <c r="H50" s="384">
        <v>7242</v>
      </c>
      <c r="I50" s="396">
        <v>7026</v>
      </c>
      <c r="J50" s="427">
        <v>7723</v>
      </c>
      <c r="K50" s="384">
        <v>7344</v>
      </c>
      <c r="L50" s="384">
        <v>7671</v>
      </c>
      <c r="M50" s="384">
        <v>8009</v>
      </c>
      <c r="N50" s="384">
        <v>7584</v>
      </c>
      <c r="O50" s="384">
        <v>7213</v>
      </c>
      <c r="P50" s="384">
        <v>7534</v>
      </c>
      <c r="Q50" s="384">
        <v>7868</v>
      </c>
    </row>
    <row r="51" spans="1:17">
      <c r="A51" s="380" t="s">
        <v>1205</v>
      </c>
      <c r="B51" s="381" t="s">
        <v>941</v>
      </c>
      <c r="C51" s="381" t="s">
        <v>1210</v>
      </c>
      <c r="D51" s="381" t="s">
        <v>233</v>
      </c>
      <c r="E51" s="382" t="s">
        <v>232</v>
      </c>
      <c r="F51" s="383">
        <v>2510</v>
      </c>
      <c r="G51" s="384">
        <v>2479</v>
      </c>
      <c r="H51" s="384">
        <v>2551</v>
      </c>
      <c r="I51" s="396">
        <v>2297</v>
      </c>
      <c r="J51" s="427">
        <v>2476.8337094939998</v>
      </c>
      <c r="K51" s="384">
        <v>2472.1896685720003</v>
      </c>
      <c r="L51" s="384">
        <v>2573.5053946160001</v>
      </c>
      <c r="M51" s="384">
        <v>2390.1895001399998</v>
      </c>
      <c r="N51" s="384">
        <v>2414.1203836889999</v>
      </c>
      <c r="O51" s="384">
        <v>2409.3834619509998</v>
      </c>
      <c r="P51" s="384">
        <v>2512.7255025100003</v>
      </c>
      <c r="Q51" s="384">
        <v>2325.7432901329998</v>
      </c>
    </row>
    <row r="52" spans="1:17">
      <c r="A52" s="380" t="s">
        <v>1205</v>
      </c>
      <c r="B52" s="381" t="s">
        <v>941</v>
      </c>
      <c r="C52" s="381" t="s">
        <v>1210</v>
      </c>
      <c r="D52" s="381" t="s">
        <v>275</v>
      </c>
      <c r="E52" s="382" t="s">
        <v>274</v>
      </c>
      <c r="F52" s="383">
        <v>3582</v>
      </c>
      <c r="G52" s="384">
        <v>3470</v>
      </c>
      <c r="H52" s="384">
        <v>3628</v>
      </c>
      <c r="I52" s="396">
        <v>3738</v>
      </c>
      <c r="J52" s="427">
        <v>3513.37743159</v>
      </c>
      <c r="K52" s="384">
        <v>3557.5193274799999</v>
      </c>
      <c r="L52" s="384">
        <v>3662.1483436300005</v>
      </c>
      <c r="M52" s="384">
        <v>3645.7500078599996</v>
      </c>
      <c r="N52" s="384">
        <v>3443.4185627400002</v>
      </c>
      <c r="O52" s="384">
        <v>3486.6565429699999</v>
      </c>
      <c r="P52" s="384">
        <v>3589.2044509299994</v>
      </c>
      <c r="Q52" s="384">
        <v>3573.1214345600001</v>
      </c>
    </row>
    <row r="53" spans="1:17">
      <c r="A53" s="380" t="s">
        <v>1205</v>
      </c>
      <c r="B53" s="381" t="s">
        <v>941</v>
      </c>
      <c r="C53" s="381" t="s">
        <v>1210</v>
      </c>
      <c r="D53" s="381" t="s">
        <v>371</v>
      </c>
      <c r="E53" s="382" t="s">
        <v>1211</v>
      </c>
      <c r="F53" s="383">
        <v>6084</v>
      </c>
      <c r="G53" s="384">
        <v>5892</v>
      </c>
      <c r="H53" s="384">
        <v>6037</v>
      </c>
      <c r="I53" s="396">
        <v>5735</v>
      </c>
      <c r="J53" s="427">
        <v>5913.3200000000006</v>
      </c>
      <c r="K53" s="384">
        <v>5777.1</v>
      </c>
      <c r="L53" s="384">
        <v>5920.18</v>
      </c>
      <c r="M53" s="384">
        <v>5764.3600000000006</v>
      </c>
      <c r="N53" s="384">
        <v>5203.8500000000004</v>
      </c>
      <c r="O53" s="384">
        <v>5083.67</v>
      </c>
      <c r="P53" s="384">
        <v>5206.4400000000005</v>
      </c>
      <c r="Q53" s="384">
        <v>5071.51</v>
      </c>
    </row>
    <row r="54" spans="1:17">
      <c r="A54" s="380" t="s">
        <v>1205</v>
      </c>
      <c r="B54" s="381" t="s">
        <v>941</v>
      </c>
      <c r="C54" s="381" t="s">
        <v>1210</v>
      </c>
      <c r="D54" s="381" t="s">
        <v>389</v>
      </c>
      <c r="E54" s="382" t="s">
        <v>388</v>
      </c>
      <c r="F54" s="383">
        <v>3213</v>
      </c>
      <c r="G54" s="384">
        <v>3117</v>
      </c>
      <c r="H54" s="384">
        <v>3234</v>
      </c>
      <c r="I54" s="396">
        <v>3126</v>
      </c>
      <c r="J54" s="427">
        <v>3120.3200000000006</v>
      </c>
      <c r="K54" s="384">
        <v>3056.62</v>
      </c>
      <c r="L54" s="384">
        <v>3172.26</v>
      </c>
      <c r="M54" s="384">
        <v>3058.58</v>
      </c>
      <c r="N54" s="384">
        <v>2732.64</v>
      </c>
      <c r="O54" s="384">
        <v>2677</v>
      </c>
      <c r="P54" s="384">
        <v>2779.85</v>
      </c>
      <c r="Q54" s="384">
        <v>2679.17</v>
      </c>
    </row>
    <row r="55" spans="1:17">
      <c r="A55" s="380" t="s">
        <v>1205</v>
      </c>
      <c r="B55" s="381" t="s">
        <v>941</v>
      </c>
      <c r="C55" s="381" t="s">
        <v>1210</v>
      </c>
      <c r="D55" s="381" t="s">
        <v>407</v>
      </c>
      <c r="E55" s="382" t="s">
        <v>406</v>
      </c>
      <c r="F55" s="383">
        <v>9223</v>
      </c>
      <c r="G55" s="384">
        <v>9031</v>
      </c>
      <c r="H55" s="384">
        <v>9369</v>
      </c>
      <c r="I55" s="396">
        <v>9618</v>
      </c>
      <c r="J55" s="427">
        <v>9143.2782212900001</v>
      </c>
      <c r="K55" s="384">
        <v>9262.7506670500006</v>
      </c>
      <c r="L55" s="384">
        <v>9537.0178469300008</v>
      </c>
      <c r="M55" s="384">
        <v>9493.3844320099997</v>
      </c>
      <c r="N55" s="384">
        <v>9090.5839118100012</v>
      </c>
      <c r="O55" s="384">
        <v>9209.3678169300001</v>
      </c>
      <c r="P55" s="384">
        <v>9482.0543471399997</v>
      </c>
      <c r="Q55" s="384">
        <v>9438.6723990800001</v>
      </c>
    </row>
    <row r="56" spans="1:17">
      <c r="A56" s="380" t="s">
        <v>1205</v>
      </c>
      <c r="B56" s="381" t="s">
        <v>941</v>
      </c>
      <c r="C56" s="381" t="s">
        <v>1210</v>
      </c>
      <c r="D56" s="381" t="s">
        <v>458</v>
      </c>
      <c r="E56" s="382" t="s">
        <v>457</v>
      </c>
      <c r="F56" s="383">
        <v>8333</v>
      </c>
      <c r="G56" s="384">
        <v>8200</v>
      </c>
      <c r="H56" s="384">
        <v>8563</v>
      </c>
      <c r="I56" s="396">
        <v>7254</v>
      </c>
      <c r="J56" s="427">
        <v>8049</v>
      </c>
      <c r="K56" s="384">
        <v>8070</v>
      </c>
      <c r="L56" s="384">
        <v>8277</v>
      </c>
      <c r="M56" s="384">
        <v>6789</v>
      </c>
      <c r="N56" s="384">
        <v>7882</v>
      </c>
      <c r="O56" s="384">
        <v>7908</v>
      </c>
      <c r="P56" s="384">
        <v>8116</v>
      </c>
      <c r="Q56" s="384">
        <v>6605</v>
      </c>
    </row>
    <row r="57" spans="1:17">
      <c r="A57" s="380" t="s">
        <v>1205</v>
      </c>
      <c r="B57" s="381" t="s">
        <v>941</v>
      </c>
      <c r="C57" s="381" t="s">
        <v>1210</v>
      </c>
      <c r="D57" s="381" t="s">
        <v>461</v>
      </c>
      <c r="E57" s="382" t="s">
        <v>1212</v>
      </c>
      <c r="F57" s="383">
        <v>3431</v>
      </c>
      <c r="G57" s="384">
        <v>3496</v>
      </c>
      <c r="H57" s="384">
        <v>3314</v>
      </c>
      <c r="I57" s="396">
        <v>3032</v>
      </c>
      <c r="J57" s="427">
        <v>3461</v>
      </c>
      <c r="K57" s="384">
        <v>3420</v>
      </c>
      <c r="L57" s="384">
        <v>3235</v>
      </c>
      <c r="M57" s="384">
        <v>2937</v>
      </c>
      <c r="N57" s="384">
        <v>3394</v>
      </c>
      <c r="O57" s="384">
        <v>3340</v>
      </c>
      <c r="P57" s="384">
        <v>3155</v>
      </c>
      <c r="Q57" s="384">
        <v>2855</v>
      </c>
    </row>
    <row r="58" spans="1:17">
      <c r="A58" s="380" t="s">
        <v>1205</v>
      </c>
      <c r="B58" s="381" t="s">
        <v>941</v>
      </c>
      <c r="C58" s="381" t="s">
        <v>1210</v>
      </c>
      <c r="D58" s="381" t="s">
        <v>464</v>
      </c>
      <c r="E58" s="382" t="s">
        <v>463</v>
      </c>
      <c r="F58" s="383">
        <v>2234</v>
      </c>
      <c r="G58" s="384">
        <v>2193</v>
      </c>
      <c r="H58" s="384">
        <v>2236</v>
      </c>
      <c r="I58" s="396">
        <v>1903</v>
      </c>
      <c r="J58" s="427">
        <v>2176</v>
      </c>
      <c r="K58" s="384">
        <v>2178</v>
      </c>
      <c r="L58" s="384">
        <v>2218</v>
      </c>
      <c r="M58" s="384">
        <v>1875</v>
      </c>
      <c r="N58" s="384">
        <v>2167</v>
      </c>
      <c r="O58" s="384">
        <v>2161</v>
      </c>
      <c r="P58" s="384">
        <v>2198</v>
      </c>
      <c r="Q58" s="384">
        <v>1857</v>
      </c>
    </row>
    <row r="59" spans="1:17">
      <c r="A59" s="380" t="s">
        <v>1205</v>
      </c>
      <c r="B59" s="381" t="s">
        <v>941</v>
      </c>
      <c r="C59" s="381" t="s">
        <v>1210</v>
      </c>
      <c r="D59" s="381" t="s">
        <v>488</v>
      </c>
      <c r="E59" s="382" t="s">
        <v>487</v>
      </c>
      <c r="F59" s="383">
        <v>2615</v>
      </c>
      <c r="G59" s="384">
        <v>2624</v>
      </c>
      <c r="H59" s="384">
        <v>2501</v>
      </c>
      <c r="I59" s="396">
        <v>2184</v>
      </c>
      <c r="J59" s="427">
        <v>2371</v>
      </c>
      <c r="K59" s="384">
        <v>2575</v>
      </c>
      <c r="L59" s="384">
        <v>2455</v>
      </c>
      <c r="M59" s="384">
        <v>2112</v>
      </c>
      <c r="N59" s="384">
        <v>2336</v>
      </c>
      <c r="O59" s="384">
        <v>2522</v>
      </c>
      <c r="P59" s="384">
        <v>2403</v>
      </c>
      <c r="Q59" s="384">
        <v>2054</v>
      </c>
    </row>
    <row r="60" spans="1:17">
      <c r="A60" s="380" t="s">
        <v>1205</v>
      </c>
      <c r="B60" s="381" t="s">
        <v>941</v>
      </c>
      <c r="C60" s="381" t="s">
        <v>1210</v>
      </c>
      <c r="D60" s="381" t="s">
        <v>552</v>
      </c>
      <c r="E60" s="382" t="s">
        <v>551</v>
      </c>
      <c r="F60" s="383">
        <v>14188</v>
      </c>
      <c r="G60" s="384">
        <v>14334</v>
      </c>
      <c r="H60" s="384">
        <v>14572</v>
      </c>
      <c r="I60" s="396">
        <v>14666</v>
      </c>
      <c r="J60" s="427">
        <v>13627.236225542998</v>
      </c>
      <c r="K60" s="384">
        <v>13805.000655247</v>
      </c>
      <c r="L60" s="384">
        <v>14212.934057581</v>
      </c>
      <c r="M60" s="384">
        <v>14148.199034041001</v>
      </c>
      <c r="N60" s="384">
        <v>13035.378748456002</v>
      </c>
      <c r="O60" s="384">
        <v>13205.422521949</v>
      </c>
      <c r="P60" s="384">
        <v>13595.638579980001</v>
      </c>
      <c r="Q60" s="384">
        <v>13533.715125051</v>
      </c>
    </row>
    <row r="61" spans="1:17">
      <c r="A61" s="380" t="s">
        <v>1205</v>
      </c>
      <c r="B61" s="381" t="s">
        <v>928</v>
      </c>
      <c r="C61" s="381" t="s">
        <v>1213</v>
      </c>
      <c r="D61" s="381" t="s">
        <v>116</v>
      </c>
      <c r="E61" s="382" t="s">
        <v>115</v>
      </c>
      <c r="F61" s="383">
        <v>17248</v>
      </c>
      <c r="G61" s="384">
        <v>17600</v>
      </c>
      <c r="H61" s="384">
        <v>18538</v>
      </c>
      <c r="I61" s="396">
        <v>18317</v>
      </c>
      <c r="J61" s="427">
        <v>17236.629000000001</v>
      </c>
      <c r="K61" s="384">
        <v>17554.442999999999</v>
      </c>
      <c r="L61" s="384">
        <v>18495.831000000002</v>
      </c>
      <c r="M61" s="384">
        <v>18032.463000000003</v>
      </c>
      <c r="N61" s="384">
        <v>17106.332305</v>
      </c>
      <c r="O61" s="384">
        <v>17425.537935</v>
      </c>
      <c r="P61" s="384">
        <v>18346.358394999999</v>
      </c>
      <c r="Q61" s="384">
        <v>17892.503835</v>
      </c>
    </row>
    <row r="62" spans="1:17">
      <c r="A62" s="380" t="s">
        <v>1205</v>
      </c>
      <c r="B62" s="381" t="s">
        <v>928</v>
      </c>
      <c r="C62" s="381" t="s">
        <v>1213</v>
      </c>
      <c r="D62" s="381" t="s">
        <v>250</v>
      </c>
      <c r="E62" s="382" t="s">
        <v>1214</v>
      </c>
      <c r="F62" s="383">
        <v>5912</v>
      </c>
      <c r="G62" s="384">
        <v>4934</v>
      </c>
      <c r="H62" s="384">
        <v>5140</v>
      </c>
      <c r="I62" s="396">
        <v>5279</v>
      </c>
      <c r="J62" s="427">
        <v>5323</v>
      </c>
      <c r="K62" s="384">
        <v>5223</v>
      </c>
      <c r="L62" s="384">
        <v>5121</v>
      </c>
      <c r="M62" s="384">
        <v>5000</v>
      </c>
      <c r="N62" s="384">
        <v>5108</v>
      </c>
      <c r="O62" s="384">
        <v>5010</v>
      </c>
      <c r="P62" s="384">
        <v>4912</v>
      </c>
      <c r="Q62" s="384">
        <v>4797</v>
      </c>
    </row>
    <row r="63" spans="1:17">
      <c r="A63" s="380" t="s">
        <v>1205</v>
      </c>
      <c r="B63" s="381" t="s">
        <v>928</v>
      </c>
      <c r="C63" s="381" t="s">
        <v>1213</v>
      </c>
      <c r="D63" s="381" t="s">
        <v>320</v>
      </c>
      <c r="E63" s="382" t="s">
        <v>319</v>
      </c>
      <c r="F63" s="383">
        <v>8161</v>
      </c>
      <c r="G63" s="384">
        <v>8102</v>
      </c>
      <c r="H63" s="384">
        <v>9122</v>
      </c>
      <c r="I63" s="396">
        <v>9128</v>
      </c>
      <c r="J63" s="427">
        <v>7932</v>
      </c>
      <c r="K63" s="384">
        <v>8019</v>
      </c>
      <c r="L63" s="384">
        <v>8019</v>
      </c>
      <c r="M63" s="384">
        <v>7845</v>
      </c>
      <c r="N63" s="384">
        <v>7307</v>
      </c>
      <c r="O63" s="384">
        <v>7387</v>
      </c>
      <c r="P63" s="384">
        <v>7387</v>
      </c>
      <c r="Q63" s="384">
        <v>7226</v>
      </c>
    </row>
    <row r="64" spans="1:17">
      <c r="A64" s="380" t="s">
        <v>1205</v>
      </c>
      <c r="B64" s="381" t="s">
        <v>928</v>
      </c>
      <c r="C64" s="381" t="s">
        <v>1213</v>
      </c>
      <c r="D64" s="381" t="s">
        <v>434</v>
      </c>
      <c r="E64" s="382" t="s">
        <v>433</v>
      </c>
      <c r="F64" s="383">
        <v>4133</v>
      </c>
      <c r="G64" s="384">
        <v>4106</v>
      </c>
      <c r="H64" s="384">
        <v>4321</v>
      </c>
      <c r="I64" s="396">
        <v>4213</v>
      </c>
      <c r="J64" s="427">
        <v>4516.6435743700004</v>
      </c>
      <c r="K64" s="384">
        <v>4410.8333666199997</v>
      </c>
      <c r="L64" s="384">
        <v>4663.9479811700003</v>
      </c>
      <c r="M64" s="384">
        <v>4275.8188209700002</v>
      </c>
      <c r="N64" s="384">
        <v>4670.2094557700002</v>
      </c>
      <c r="O64" s="384">
        <v>4560.8017009800005</v>
      </c>
      <c r="P64" s="384">
        <v>4822.5222125099999</v>
      </c>
      <c r="Q64" s="384">
        <v>4421.1966609500005</v>
      </c>
    </row>
    <row r="65" spans="1:17">
      <c r="A65" s="380" t="s">
        <v>1205</v>
      </c>
      <c r="B65" s="381" t="s">
        <v>928</v>
      </c>
      <c r="C65" s="381" t="s">
        <v>1213</v>
      </c>
      <c r="D65" s="381" t="s">
        <v>455</v>
      </c>
      <c r="E65" s="382" t="s">
        <v>454</v>
      </c>
      <c r="F65" s="383">
        <v>4920</v>
      </c>
      <c r="G65" s="384">
        <v>5094</v>
      </c>
      <c r="H65" s="384">
        <v>5206</v>
      </c>
      <c r="I65" s="396">
        <v>5120</v>
      </c>
      <c r="J65" s="427">
        <v>5432</v>
      </c>
      <c r="K65" s="384">
        <v>5361</v>
      </c>
      <c r="L65" s="384">
        <v>5464</v>
      </c>
      <c r="M65" s="384">
        <v>5315</v>
      </c>
      <c r="N65" s="384">
        <v>5329</v>
      </c>
      <c r="O65" s="384">
        <v>5261</v>
      </c>
      <c r="P65" s="384">
        <v>5361</v>
      </c>
      <c r="Q65" s="384">
        <v>5219</v>
      </c>
    </row>
    <row r="66" spans="1:17">
      <c r="A66" s="380" t="s">
        <v>1205</v>
      </c>
      <c r="B66" s="381" t="s">
        <v>928</v>
      </c>
      <c r="C66" s="381" t="s">
        <v>1213</v>
      </c>
      <c r="D66" s="381" t="s">
        <v>532</v>
      </c>
      <c r="E66" s="382" t="s">
        <v>531</v>
      </c>
      <c r="F66" s="383">
        <v>5235</v>
      </c>
      <c r="G66" s="384">
        <v>5341</v>
      </c>
      <c r="H66" s="384">
        <v>5336</v>
      </c>
      <c r="I66" s="396">
        <v>5498</v>
      </c>
      <c r="J66" s="427">
        <v>5548</v>
      </c>
      <c r="K66" s="384">
        <v>5507</v>
      </c>
      <c r="L66" s="384">
        <v>5501</v>
      </c>
      <c r="M66" s="384">
        <v>5549</v>
      </c>
      <c r="N66" s="384">
        <v>5543</v>
      </c>
      <c r="O66" s="384">
        <v>5500</v>
      </c>
      <c r="P66" s="384">
        <v>5494</v>
      </c>
      <c r="Q66" s="384">
        <v>5543</v>
      </c>
    </row>
    <row r="67" spans="1:17">
      <c r="A67" s="380" t="s">
        <v>1205</v>
      </c>
      <c r="B67" s="381" t="s">
        <v>928</v>
      </c>
      <c r="C67" s="381" t="s">
        <v>1213</v>
      </c>
      <c r="D67" s="381" t="s">
        <v>620</v>
      </c>
      <c r="E67" s="382" t="s">
        <v>619</v>
      </c>
      <c r="F67" s="383">
        <v>4909</v>
      </c>
      <c r="G67" s="384">
        <v>4887</v>
      </c>
      <c r="H67" s="384">
        <v>5135</v>
      </c>
      <c r="I67" s="396">
        <v>5420</v>
      </c>
      <c r="J67" s="427">
        <v>4822</v>
      </c>
      <c r="K67" s="384">
        <v>4826</v>
      </c>
      <c r="L67" s="384">
        <v>4828</v>
      </c>
      <c r="M67" s="384">
        <v>4619</v>
      </c>
      <c r="N67" s="384">
        <v>4638</v>
      </c>
      <c r="O67" s="384">
        <v>4642</v>
      </c>
      <c r="P67" s="384">
        <v>4830</v>
      </c>
      <c r="Q67" s="384">
        <v>4621</v>
      </c>
    </row>
    <row r="68" spans="1:17">
      <c r="A68" s="380" t="s">
        <v>1205</v>
      </c>
      <c r="B68" s="381" t="s">
        <v>928</v>
      </c>
      <c r="C68" s="381" t="s">
        <v>1213</v>
      </c>
      <c r="D68" s="381" t="s">
        <v>622</v>
      </c>
      <c r="E68" s="382" t="s">
        <v>621</v>
      </c>
      <c r="F68" s="383">
        <v>5317</v>
      </c>
      <c r="G68" s="384">
        <v>5475</v>
      </c>
      <c r="H68" s="384">
        <v>5763</v>
      </c>
      <c r="I68" s="396">
        <v>5719</v>
      </c>
      <c r="J68" s="427">
        <v>4915</v>
      </c>
      <c r="K68" s="384">
        <v>4970</v>
      </c>
      <c r="L68" s="384">
        <v>4970</v>
      </c>
      <c r="M68" s="384">
        <v>4863</v>
      </c>
      <c r="N68" s="384">
        <v>4589</v>
      </c>
      <c r="O68" s="384">
        <v>4639</v>
      </c>
      <c r="P68" s="384">
        <v>4639</v>
      </c>
      <c r="Q68" s="384">
        <v>4538</v>
      </c>
    </row>
    <row r="69" spans="1:17">
      <c r="A69" s="380" t="s">
        <v>1205</v>
      </c>
      <c r="B69" s="381" t="s">
        <v>946</v>
      </c>
      <c r="C69" s="381" t="s">
        <v>1215</v>
      </c>
      <c r="D69" s="381" t="s">
        <v>41</v>
      </c>
      <c r="E69" s="382" t="s">
        <v>40</v>
      </c>
      <c r="F69" s="383">
        <v>5652</v>
      </c>
      <c r="G69" s="384">
        <v>5724</v>
      </c>
      <c r="H69" s="384">
        <v>5762</v>
      </c>
      <c r="I69" s="396">
        <v>5783</v>
      </c>
      <c r="J69" s="427">
        <v>5945.8695177099999</v>
      </c>
      <c r="K69" s="384">
        <v>5915.0319386899992</v>
      </c>
      <c r="L69" s="384">
        <v>5956.29739341</v>
      </c>
      <c r="M69" s="384">
        <v>5889.7206771299998</v>
      </c>
      <c r="N69" s="384">
        <v>5858.4810114900001</v>
      </c>
      <c r="O69" s="384">
        <v>5822.5598665899997</v>
      </c>
      <c r="P69" s="384">
        <v>5864.4103347600003</v>
      </c>
      <c r="Q69" s="384">
        <v>5805.74935319</v>
      </c>
    </row>
    <row r="70" spans="1:17">
      <c r="A70" s="380" t="s">
        <v>1205</v>
      </c>
      <c r="B70" s="381" t="s">
        <v>946</v>
      </c>
      <c r="C70" s="381" t="s">
        <v>1215</v>
      </c>
      <c r="D70" s="381" t="s">
        <v>130</v>
      </c>
      <c r="E70" s="382" t="s">
        <v>1216</v>
      </c>
      <c r="F70" s="383">
        <v>3883</v>
      </c>
      <c r="G70" s="384">
        <v>3959</v>
      </c>
      <c r="H70" s="384">
        <v>3943</v>
      </c>
      <c r="I70" s="396">
        <v>4129</v>
      </c>
      <c r="J70" s="427">
        <v>4143.7351696420001</v>
      </c>
      <c r="K70" s="384">
        <v>4177.7572046879995</v>
      </c>
      <c r="L70" s="384">
        <v>4188.2925657530004</v>
      </c>
      <c r="M70" s="384">
        <v>4105.852270249</v>
      </c>
      <c r="N70" s="384">
        <v>4158.5893464259998</v>
      </c>
      <c r="O70" s="384">
        <v>4192.4756108080001</v>
      </c>
      <c r="P70" s="384">
        <v>4203.1702945010002</v>
      </c>
      <c r="Q70" s="384">
        <v>4120.7989538319998</v>
      </c>
    </row>
    <row r="71" spans="1:17">
      <c r="A71" s="380" t="s">
        <v>1205</v>
      </c>
      <c r="B71" s="381" t="s">
        <v>946</v>
      </c>
      <c r="C71" s="381" t="s">
        <v>1215</v>
      </c>
      <c r="D71" s="381" t="s">
        <v>380</v>
      </c>
      <c r="E71" s="382" t="s">
        <v>379</v>
      </c>
      <c r="F71" s="383">
        <v>7672</v>
      </c>
      <c r="G71" s="384">
        <v>7775</v>
      </c>
      <c r="H71" s="384">
        <v>8473</v>
      </c>
      <c r="I71" s="396">
        <v>8417</v>
      </c>
      <c r="J71" s="427">
        <v>8211</v>
      </c>
      <c r="K71" s="384">
        <v>8301</v>
      </c>
      <c r="L71" s="384">
        <v>8301</v>
      </c>
      <c r="M71" s="384">
        <v>8120</v>
      </c>
      <c r="N71" s="384">
        <v>8175</v>
      </c>
      <c r="O71" s="384">
        <v>8265</v>
      </c>
      <c r="P71" s="384">
        <v>8265</v>
      </c>
      <c r="Q71" s="384">
        <v>8173</v>
      </c>
    </row>
    <row r="72" spans="1:17">
      <c r="A72" s="380" t="s">
        <v>1205</v>
      </c>
      <c r="B72" s="381" t="s">
        <v>946</v>
      </c>
      <c r="C72" s="381" t="s">
        <v>1215</v>
      </c>
      <c r="D72" s="381" t="s">
        <v>413</v>
      </c>
      <c r="E72" s="382" t="s">
        <v>412</v>
      </c>
      <c r="F72" s="383">
        <v>8013</v>
      </c>
      <c r="G72" s="384">
        <v>8191</v>
      </c>
      <c r="H72" s="384">
        <v>9387</v>
      </c>
      <c r="I72" s="396">
        <v>9187</v>
      </c>
      <c r="J72" s="427">
        <v>8671</v>
      </c>
      <c r="K72" s="384">
        <v>8677</v>
      </c>
      <c r="L72" s="384">
        <v>8675</v>
      </c>
      <c r="M72" s="384">
        <v>8677</v>
      </c>
      <c r="N72" s="384">
        <v>8809.7360000000008</v>
      </c>
      <c r="O72" s="384">
        <v>8815.8320000000003</v>
      </c>
      <c r="P72" s="384">
        <v>8813.7999999999993</v>
      </c>
      <c r="Q72" s="384">
        <v>8815.8320000000003</v>
      </c>
    </row>
    <row r="73" spans="1:17">
      <c r="A73" s="380" t="s">
        <v>1205</v>
      </c>
      <c r="B73" s="381" t="s">
        <v>946</v>
      </c>
      <c r="C73" s="381" t="s">
        <v>1215</v>
      </c>
      <c r="D73" s="381" t="s">
        <v>550</v>
      </c>
      <c r="E73" s="382" t="s">
        <v>549</v>
      </c>
      <c r="F73" s="383">
        <v>4288</v>
      </c>
      <c r="G73" s="384">
        <v>4647</v>
      </c>
      <c r="H73" s="384">
        <v>4544</v>
      </c>
      <c r="I73" s="396">
        <v>4839</v>
      </c>
      <c r="J73" s="427">
        <v>4411.0613488039999</v>
      </c>
      <c r="K73" s="384">
        <v>4753.7005916210001</v>
      </c>
      <c r="L73" s="384">
        <v>4627.7014790850008</v>
      </c>
      <c r="M73" s="384">
        <v>4606.3624176129997</v>
      </c>
      <c r="N73" s="384">
        <v>4342.3363995380005</v>
      </c>
      <c r="O73" s="384">
        <v>4678.8528454059997</v>
      </c>
      <c r="P73" s="384">
        <v>4555.3453291599999</v>
      </c>
      <c r="Q73" s="384">
        <v>4534.5203436219999</v>
      </c>
    </row>
    <row r="74" spans="1:17">
      <c r="A74" s="380" t="s">
        <v>1205</v>
      </c>
      <c r="B74" s="381" t="s">
        <v>946</v>
      </c>
      <c r="C74" s="381" t="s">
        <v>1215</v>
      </c>
      <c r="D74" s="381" t="s">
        <v>584</v>
      </c>
      <c r="E74" s="382" t="s">
        <v>583</v>
      </c>
      <c r="F74" s="383">
        <v>3410</v>
      </c>
      <c r="G74" s="384">
        <v>3547</v>
      </c>
      <c r="H74" s="384">
        <v>3314</v>
      </c>
      <c r="I74" s="396">
        <v>3464</v>
      </c>
      <c r="J74" s="427">
        <v>3487.1008446129999</v>
      </c>
      <c r="K74" s="384">
        <v>3518.4800262799999</v>
      </c>
      <c r="L74" s="384">
        <v>3511.7307457390002</v>
      </c>
      <c r="M74" s="384">
        <v>3457.3721544299997</v>
      </c>
      <c r="N74" s="384">
        <v>3493.8502160839998</v>
      </c>
      <c r="O74" s="384">
        <v>3524.1616314409998</v>
      </c>
      <c r="P74" s="384">
        <v>3517.3455965170001</v>
      </c>
      <c r="Q74" s="384">
        <v>3462.191695127</v>
      </c>
    </row>
    <row r="75" spans="1:17">
      <c r="A75" s="380" t="s">
        <v>1205</v>
      </c>
      <c r="B75" s="381" t="s">
        <v>946</v>
      </c>
      <c r="C75" s="381" t="s">
        <v>1215</v>
      </c>
      <c r="D75" s="381" t="s">
        <v>608</v>
      </c>
      <c r="E75" s="382" t="s">
        <v>607</v>
      </c>
      <c r="F75" s="383">
        <v>6445</v>
      </c>
      <c r="G75" s="384">
        <v>6707</v>
      </c>
      <c r="H75" s="384">
        <v>6995</v>
      </c>
      <c r="I75" s="396">
        <v>7163</v>
      </c>
      <c r="J75" s="427">
        <v>6398.0942996600006</v>
      </c>
      <c r="K75" s="384">
        <v>6468.40302823</v>
      </c>
      <c r="L75" s="384">
        <v>6468.4030282300009</v>
      </c>
      <c r="M75" s="384">
        <v>6327.7855710900003</v>
      </c>
      <c r="N75" s="384">
        <v>6376.1780443600001</v>
      </c>
      <c r="O75" s="384">
        <v>6446.2459349599994</v>
      </c>
      <c r="P75" s="384">
        <v>6446.2459349599994</v>
      </c>
      <c r="Q75" s="384">
        <v>6376.1780443600001</v>
      </c>
    </row>
    <row r="76" spans="1:17">
      <c r="A76" s="380" t="s">
        <v>1205</v>
      </c>
      <c r="B76" s="381" t="s">
        <v>905</v>
      </c>
      <c r="C76" s="381" t="s">
        <v>1217</v>
      </c>
      <c r="D76" s="381" t="s">
        <v>54</v>
      </c>
      <c r="E76" s="382" t="s">
        <v>53</v>
      </c>
      <c r="F76" s="383">
        <v>9084</v>
      </c>
      <c r="G76" s="384">
        <v>8914</v>
      </c>
      <c r="H76" s="384">
        <v>9129</v>
      </c>
      <c r="I76" s="396">
        <v>8981</v>
      </c>
      <c r="J76" s="427">
        <v>9029</v>
      </c>
      <c r="K76" s="384">
        <v>8860</v>
      </c>
      <c r="L76" s="384">
        <v>8861</v>
      </c>
      <c r="M76" s="384">
        <v>8806</v>
      </c>
      <c r="N76" s="384">
        <v>9279</v>
      </c>
      <c r="O76" s="384">
        <v>9109</v>
      </c>
      <c r="P76" s="384">
        <v>9110</v>
      </c>
      <c r="Q76" s="384">
        <v>9055</v>
      </c>
    </row>
    <row r="77" spans="1:17">
      <c r="A77" s="380" t="s">
        <v>1205</v>
      </c>
      <c r="B77" s="381" t="s">
        <v>905</v>
      </c>
      <c r="C77" s="381" t="s">
        <v>1217</v>
      </c>
      <c r="D77" s="381" t="s">
        <v>156</v>
      </c>
      <c r="E77" s="382" t="s">
        <v>155</v>
      </c>
      <c r="F77" s="383">
        <v>1474</v>
      </c>
      <c r="G77" s="384">
        <v>1599</v>
      </c>
      <c r="H77" s="384">
        <v>1588</v>
      </c>
      <c r="I77" s="396">
        <v>1572</v>
      </c>
      <c r="J77" s="427">
        <v>1530</v>
      </c>
      <c r="K77" s="384">
        <v>1690</v>
      </c>
      <c r="L77" s="384">
        <v>1637</v>
      </c>
      <c r="M77" s="384">
        <v>1615</v>
      </c>
      <c r="N77" s="384">
        <v>1541</v>
      </c>
      <c r="O77" s="384">
        <v>1725</v>
      </c>
      <c r="P77" s="384">
        <v>1671</v>
      </c>
      <c r="Q77" s="384">
        <v>1650</v>
      </c>
    </row>
    <row r="78" spans="1:17">
      <c r="A78" s="380" t="s">
        <v>1205</v>
      </c>
      <c r="B78" s="381" t="s">
        <v>905</v>
      </c>
      <c r="C78" s="381" t="s">
        <v>1217</v>
      </c>
      <c r="D78" s="381" t="s">
        <v>200</v>
      </c>
      <c r="E78" s="382" t="s">
        <v>199</v>
      </c>
      <c r="F78" s="383">
        <v>11498</v>
      </c>
      <c r="G78" s="384">
        <v>12089</v>
      </c>
      <c r="H78" s="384">
        <v>12652</v>
      </c>
      <c r="I78" s="396">
        <v>12854</v>
      </c>
      <c r="J78" s="427">
        <v>12019</v>
      </c>
      <c r="K78" s="384">
        <v>12145</v>
      </c>
      <c r="L78" s="384">
        <v>12152</v>
      </c>
      <c r="M78" s="384">
        <v>11883</v>
      </c>
      <c r="N78" s="384">
        <v>11891</v>
      </c>
      <c r="O78" s="384">
        <v>12015</v>
      </c>
      <c r="P78" s="384">
        <v>12022</v>
      </c>
      <c r="Q78" s="384">
        <v>11872</v>
      </c>
    </row>
    <row r="79" spans="1:17">
      <c r="A79" s="380" t="s">
        <v>1205</v>
      </c>
      <c r="B79" s="381" t="s">
        <v>905</v>
      </c>
      <c r="C79" s="381" t="s">
        <v>1217</v>
      </c>
      <c r="D79" s="381" t="s">
        <v>299</v>
      </c>
      <c r="E79" s="382" t="s">
        <v>298</v>
      </c>
      <c r="F79" s="383">
        <v>12516</v>
      </c>
      <c r="G79" s="384">
        <v>12709</v>
      </c>
      <c r="H79" s="384">
        <v>13740</v>
      </c>
      <c r="I79" s="396">
        <v>14001</v>
      </c>
      <c r="J79" s="427">
        <v>12608</v>
      </c>
      <c r="K79" s="384">
        <v>12768</v>
      </c>
      <c r="L79" s="384">
        <v>13136</v>
      </c>
      <c r="M79" s="384">
        <v>12885</v>
      </c>
      <c r="N79" s="384">
        <v>10766</v>
      </c>
      <c r="O79" s="384">
        <v>10901</v>
      </c>
      <c r="P79" s="384">
        <v>11983</v>
      </c>
      <c r="Q79" s="384">
        <v>12034</v>
      </c>
    </row>
    <row r="80" spans="1:17">
      <c r="A80" s="380" t="s">
        <v>1205</v>
      </c>
      <c r="B80" s="381" t="s">
        <v>905</v>
      </c>
      <c r="C80" s="381" t="s">
        <v>1217</v>
      </c>
      <c r="D80" s="381" t="s">
        <v>368</v>
      </c>
      <c r="E80" s="382" t="s">
        <v>367</v>
      </c>
      <c r="F80" s="383">
        <v>5313</v>
      </c>
      <c r="G80" s="384">
        <v>5328</v>
      </c>
      <c r="H80" s="384">
        <v>6018</v>
      </c>
      <c r="I80" s="396">
        <v>5987</v>
      </c>
      <c r="J80" s="427">
        <v>5640</v>
      </c>
      <c r="K80" s="384">
        <v>5610</v>
      </c>
      <c r="L80" s="384">
        <v>5483</v>
      </c>
      <c r="M80" s="384">
        <v>5299</v>
      </c>
      <c r="N80" s="384">
        <v>5190</v>
      </c>
      <c r="O80" s="384">
        <v>5212</v>
      </c>
      <c r="P80" s="384">
        <v>5212</v>
      </c>
      <c r="Q80" s="384">
        <v>5087</v>
      </c>
    </row>
    <row r="81" spans="1:17">
      <c r="A81" s="380" t="s">
        <v>1205</v>
      </c>
      <c r="B81" s="381" t="s">
        <v>905</v>
      </c>
      <c r="C81" s="381" t="s">
        <v>1217</v>
      </c>
      <c r="D81" s="381" t="s">
        <v>383</v>
      </c>
      <c r="E81" s="382" t="s">
        <v>382</v>
      </c>
      <c r="F81" s="383">
        <v>7363</v>
      </c>
      <c r="G81" s="384">
        <v>7290</v>
      </c>
      <c r="H81" s="384">
        <v>7428</v>
      </c>
      <c r="I81" s="396">
        <v>6691</v>
      </c>
      <c r="J81" s="427">
        <v>7369</v>
      </c>
      <c r="K81" s="384">
        <v>7224</v>
      </c>
      <c r="L81" s="384">
        <v>7237</v>
      </c>
      <c r="M81" s="384">
        <v>6236</v>
      </c>
      <c r="N81" s="384">
        <v>6360</v>
      </c>
      <c r="O81" s="384">
        <v>6303</v>
      </c>
      <c r="P81" s="384">
        <v>6417</v>
      </c>
      <c r="Q81" s="384">
        <v>5777</v>
      </c>
    </row>
    <row r="82" spans="1:17">
      <c r="A82" s="380" t="s">
        <v>1205</v>
      </c>
      <c r="B82" s="381" t="s">
        <v>905</v>
      </c>
      <c r="C82" s="381" t="s">
        <v>1217</v>
      </c>
      <c r="D82" s="381" t="s">
        <v>386</v>
      </c>
      <c r="E82" s="382" t="s">
        <v>385</v>
      </c>
      <c r="F82" s="383">
        <v>13544</v>
      </c>
      <c r="G82" s="384">
        <v>13916</v>
      </c>
      <c r="H82" s="384">
        <v>14970</v>
      </c>
      <c r="I82" s="396">
        <v>14986</v>
      </c>
      <c r="J82" s="427">
        <v>13008</v>
      </c>
      <c r="K82" s="384">
        <v>13326</v>
      </c>
      <c r="L82" s="384">
        <v>14069</v>
      </c>
      <c r="M82" s="384">
        <v>13515</v>
      </c>
      <c r="N82" s="384">
        <v>13219</v>
      </c>
      <c r="O82" s="384">
        <v>13540</v>
      </c>
      <c r="P82" s="384">
        <v>14288</v>
      </c>
      <c r="Q82" s="384">
        <v>13733</v>
      </c>
    </row>
    <row r="83" spans="1:17">
      <c r="A83" s="380" t="s">
        <v>1205</v>
      </c>
      <c r="B83" s="381" t="s">
        <v>952</v>
      </c>
      <c r="C83" s="381" t="s">
        <v>1218</v>
      </c>
      <c r="D83" s="381" t="s">
        <v>207</v>
      </c>
      <c r="E83" s="382" t="s">
        <v>206</v>
      </c>
      <c r="F83" s="383">
        <v>6611</v>
      </c>
      <c r="G83" s="384">
        <v>6513</v>
      </c>
      <c r="H83" s="384">
        <v>6887</v>
      </c>
      <c r="I83" s="396">
        <v>7028</v>
      </c>
      <c r="J83" s="427">
        <v>6017</v>
      </c>
      <c r="K83" s="384">
        <v>6384</v>
      </c>
      <c r="L83" s="384">
        <v>6326</v>
      </c>
      <c r="M83" s="384">
        <v>6226</v>
      </c>
      <c r="N83" s="384">
        <v>6043</v>
      </c>
      <c r="O83" s="384">
        <v>6409</v>
      </c>
      <c r="P83" s="384">
        <v>6351</v>
      </c>
      <c r="Q83" s="384">
        <v>6339</v>
      </c>
    </row>
    <row r="84" spans="1:17">
      <c r="A84" s="380" t="s">
        <v>1205</v>
      </c>
      <c r="B84" s="381" t="s">
        <v>952</v>
      </c>
      <c r="C84" s="381" t="s">
        <v>1218</v>
      </c>
      <c r="D84" s="381" t="s">
        <v>353</v>
      </c>
      <c r="E84" s="382" t="s">
        <v>352</v>
      </c>
      <c r="F84" s="383">
        <v>7382</v>
      </c>
      <c r="G84" s="384">
        <v>7309</v>
      </c>
      <c r="H84" s="384">
        <v>7753</v>
      </c>
      <c r="I84" s="396">
        <v>8515</v>
      </c>
      <c r="J84" s="427">
        <v>6796</v>
      </c>
      <c r="K84" s="384">
        <v>7229</v>
      </c>
      <c r="L84" s="384">
        <v>7152</v>
      </c>
      <c r="M84" s="384">
        <v>7030</v>
      </c>
      <c r="N84" s="384">
        <v>6483</v>
      </c>
      <c r="O84" s="384">
        <v>6896</v>
      </c>
      <c r="P84" s="384">
        <v>6821</v>
      </c>
      <c r="Q84" s="384">
        <v>6810</v>
      </c>
    </row>
    <row r="85" spans="1:17">
      <c r="A85" s="380" t="s">
        <v>1205</v>
      </c>
      <c r="B85" s="381" t="s">
        <v>952</v>
      </c>
      <c r="C85" s="381" t="s">
        <v>1218</v>
      </c>
      <c r="D85" s="381" t="s">
        <v>359</v>
      </c>
      <c r="E85" s="382" t="s">
        <v>358</v>
      </c>
      <c r="F85" s="383">
        <v>6500</v>
      </c>
      <c r="G85" s="384">
        <v>6382</v>
      </c>
      <c r="H85" s="384">
        <v>6615</v>
      </c>
      <c r="I85" s="396">
        <v>6600</v>
      </c>
      <c r="J85" s="427">
        <v>6290.5150622000001</v>
      </c>
      <c r="K85" s="384">
        <v>6229.0341162299992</v>
      </c>
      <c r="L85" s="384">
        <v>6536.0699202600008</v>
      </c>
      <c r="M85" s="384">
        <v>6451.7843634299998</v>
      </c>
      <c r="N85" s="384">
        <v>5700.8153484099994</v>
      </c>
      <c r="O85" s="384">
        <v>5647.9015249200002</v>
      </c>
      <c r="P85" s="384">
        <v>5917.2995033999996</v>
      </c>
      <c r="Q85" s="384">
        <v>5835.3555440999999</v>
      </c>
    </row>
    <row r="86" spans="1:17">
      <c r="A86" s="380" t="s">
        <v>1205</v>
      </c>
      <c r="B86" s="381" t="s">
        <v>952</v>
      </c>
      <c r="C86" s="381" t="s">
        <v>1218</v>
      </c>
      <c r="D86" s="381" t="s">
        <v>362</v>
      </c>
      <c r="E86" s="382" t="s">
        <v>361</v>
      </c>
      <c r="F86" s="383">
        <v>5846</v>
      </c>
      <c r="G86" s="384">
        <v>5469</v>
      </c>
      <c r="H86" s="384">
        <v>5483</v>
      </c>
      <c r="I86" s="396">
        <v>5446</v>
      </c>
      <c r="J86" s="427">
        <v>5427.4865438669995</v>
      </c>
      <c r="K86" s="384">
        <v>5382.4340052480002</v>
      </c>
      <c r="L86" s="384">
        <v>5585.2032185460002</v>
      </c>
      <c r="M86" s="384">
        <v>5464.4291883630003</v>
      </c>
      <c r="N86" s="384">
        <v>5464.6457251460006</v>
      </c>
      <c r="O86" s="384">
        <v>5170.3302246470003</v>
      </c>
      <c r="P86" s="384">
        <v>5238.9572187120002</v>
      </c>
      <c r="Q86" s="384">
        <v>5286.0647473279996</v>
      </c>
    </row>
    <row r="87" spans="1:17">
      <c r="A87" s="380" t="s">
        <v>1205</v>
      </c>
      <c r="B87" s="381" t="s">
        <v>952</v>
      </c>
      <c r="C87" s="381" t="s">
        <v>1218</v>
      </c>
      <c r="D87" s="381" t="s">
        <v>528</v>
      </c>
      <c r="E87" s="382" t="s">
        <v>527</v>
      </c>
      <c r="F87" s="383">
        <v>3493</v>
      </c>
      <c r="G87" s="384">
        <v>3483</v>
      </c>
      <c r="H87" s="384">
        <v>3832</v>
      </c>
      <c r="I87" s="396">
        <v>3700</v>
      </c>
      <c r="J87" s="427">
        <v>3433.5313977410005</v>
      </c>
      <c r="K87" s="384">
        <v>3239.1888259530006</v>
      </c>
      <c r="L87" s="384">
        <v>3468.0747840219997</v>
      </c>
      <c r="M87" s="384">
        <v>3231.35657739</v>
      </c>
      <c r="N87" s="384">
        <v>3388.4735456389999</v>
      </c>
      <c r="O87" s="384">
        <v>3196.1597972449999</v>
      </c>
      <c r="P87" s="384">
        <v>3422.6384220250002</v>
      </c>
      <c r="Q87" s="384">
        <v>3188.3951170589999</v>
      </c>
    </row>
    <row r="88" spans="1:17">
      <c r="A88" s="380" t="s">
        <v>1205</v>
      </c>
      <c r="B88" s="381" t="s">
        <v>952</v>
      </c>
      <c r="C88" s="381" t="s">
        <v>1218</v>
      </c>
      <c r="D88" s="381" t="s">
        <v>544</v>
      </c>
      <c r="E88" s="382" t="s">
        <v>1219</v>
      </c>
      <c r="F88" s="383">
        <v>3119</v>
      </c>
      <c r="G88" s="384">
        <v>3033</v>
      </c>
      <c r="H88" s="384">
        <v>3067</v>
      </c>
      <c r="I88" s="396">
        <v>2844</v>
      </c>
      <c r="J88" s="427">
        <v>2977.4603499059999</v>
      </c>
      <c r="K88" s="384">
        <v>2969.6394673120003</v>
      </c>
      <c r="L88" s="384">
        <v>3013.0821590810001</v>
      </c>
      <c r="M88" s="384">
        <v>2927.3316090320004</v>
      </c>
      <c r="N88" s="384">
        <v>2865.284527841</v>
      </c>
      <c r="O88" s="384">
        <v>2858.298076262</v>
      </c>
      <c r="P88" s="384">
        <v>2899.4508775740001</v>
      </c>
      <c r="Q88" s="384">
        <v>2817.1828072440003</v>
      </c>
    </row>
    <row r="89" spans="1:17">
      <c r="A89" s="380" t="s">
        <v>1205</v>
      </c>
      <c r="B89" s="381" t="s">
        <v>952</v>
      </c>
      <c r="C89" s="381" t="s">
        <v>1218</v>
      </c>
      <c r="D89" s="381" t="s">
        <v>616</v>
      </c>
      <c r="E89" s="382" t="s">
        <v>615</v>
      </c>
      <c r="F89" s="383">
        <v>7220</v>
      </c>
      <c r="G89" s="384">
        <v>7290</v>
      </c>
      <c r="H89" s="384">
        <v>7688</v>
      </c>
      <c r="I89" s="396">
        <v>8087</v>
      </c>
      <c r="J89" s="427">
        <v>6944</v>
      </c>
      <c r="K89" s="384">
        <v>7349</v>
      </c>
      <c r="L89" s="384">
        <v>7288</v>
      </c>
      <c r="M89" s="384">
        <v>7176</v>
      </c>
      <c r="N89" s="384">
        <v>6556</v>
      </c>
      <c r="O89" s="384">
        <v>6941</v>
      </c>
      <c r="P89" s="384">
        <v>6883</v>
      </c>
      <c r="Q89" s="384">
        <v>6873</v>
      </c>
    </row>
    <row r="90" spans="1:17">
      <c r="A90" s="380" t="s">
        <v>1205</v>
      </c>
      <c r="B90" s="381" t="s">
        <v>954</v>
      </c>
      <c r="C90" s="381" t="s">
        <v>1220</v>
      </c>
      <c r="D90" s="381" t="s">
        <v>123</v>
      </c>
      <c r="E90" s="382" t="s">
        <v>122</v>
      </c>
      <c r="F90" s="383">
        <v>3572</v>
      </c>
      <c r="G90" s="384">
        <v>3495</v>
      </c>
      <c r="H90" s="384">
        <v>3626</v>
      </c>
      <c r="I90" s="396">
        <v>3599</v>
      </c>
      <c r="J90" s="427">
        <v>3591</v>
      </c>
      <c r="K90" s="384">
        <v>3478</v>
      </c>
      <c r="L90" s="384">
        <v>3326</v>
      </c>
      <c r="M90" s="384">
        <v>3324</v>
      </c>
      <c r="N90" s="384">
        <v>3351</v>
      </c>
      <c r="O90" s="384">
        <v>3351</v>
      </c>
      <c r="P90" s="384">
        <v>3351</v>
      </c>
      <c r="Q90" s="384">
        <v>3351</v>
      </c>
    </row>
    <row r="91" spans="1:17">
      <c r="A91" s="380" t="s">
        <v>1205</v>
      </c>
      <c r="B91" s="381" t="s">
        <v>954</v>
      </c>
      <c r="C91" s="381" t="s">
        <v>1220</v>
      </c>
      <c r="D91" s="381" t="s">
        <v>214</v>
      </c>
      <c r="E91" s="382" t="s">
        <v>213</v>
      </c>
      <c r="F91" s="383">
        <v>3180</v>
      </c>
      <c r="G91" s="384">
        <v>3238</v>
      </c>
      <c r="H91" s="384">
        <v>3642</v>
      </c>
      <c r="I91" s="396">
        <v>3636</v>
      </c>
      <c r="J91" s="427">
        <v>3134</v>
      </c>
      <c r="K91" s="384">
        <v>3189</v>
      </c>
      <c r="L91" s="384">
        <v>3588</v>
      </c>
      <c r="M91" s="384">
        <v>3417</v>
      </c>
      <c r="N91" s="384">
        <v>3057</v>
      </c>
      <c r="O91" s="384">
        <v>3109</v>
      </c>
      <c r="P91" s="384">
        <v>3497</v>
      </c>
      <c r="Q91" s="384">
        <v>3335</v>
      </c>
    </row>
    <row r="92" spans="1:17">
      <c r="A92" s="380" t="s">
        <v>1205</v>
      </c>
      <c r="B92" s="381" t="s">
        <v>954</v>
      </c>
      <c r="C92" s="381" t="s">
        <v>1220</v>
      </c>
      <c r="D92" s="381" t="s">
        <v>440</v>
      </c>
      <c r="E92" s="382" t="s">
        <v>439</v>
      </c>
      <c r="F92" s="383">
        <v>5540</v>
      </c>
      <c r="G92" s="384">
        <v>5237</v>
      </c>
      <c r="H92" s="384">
        <v>5778</v>
      </c>
      <c r="I92" s="396">
        <v>5831</v>
      </c>
      <c r="J92" s="427">
        <v>4852</v>
      </c>
      <c r="K92" s="384">
        <v>4959</v>
      </c>
      <c r="L92" s="384">
        <v>4984</v>
      </c>
      <c r="M92" s="384">
        <v>5107</v>
      </c>
      <c r="N92" s="384">
        <v>4559</v>
      </c>
      <c r="O92" s="384">
        <v>4664</v>
      </c>
      <c r="P92" s="384">
        <v>4688</v>
      </c>
      <c r="Q92" s="384">
        <v>4802</v>
      </c>
    </row>
    <row r="93" spans="1:17">
      <c r="A93" s="380" t="s">
        <v>1205</v>
      </c>
      <c r="B93" s="381" t="s">
        <v>954</v>
      </c>
      <c r="C93" s="381" t="s">
        <v>1220</v>
      </c>
      <c r="D93" s="381" t="s">
        <v>503</v>
      </c>
      <c r="E93" s="382" t="s">
        <v>502</v>
      </c>
      <c r="F93" s="383">
        <v>6760</v>
      </c>
      <c r="G93" s="384">
        <v>6599</v>
      </c>
      <c r="H93" s="384">
        <v>7341</v>
      </c>
      <c r="I93" s="396">
        <v>7185</v>
      </c>
      <c r="J93" s="427">
        <v>7210</v>
      </c>
      <c r="K93" s="384">
        <v>6908</v>
      </c>
      <c r="L93" s="384">
        <v>7359</v>
      </c>
      <c r="M93" s="384">
        <v>6919</v>
      </c>
      <c r="N93" s="384">
        <v>7216</v>
      </c>
      <c r="O93" s="384">
        <v>6914</v>
      </c>
      <c r="P93" s="384">
        <v>7365</v>
      </c>
      <c r="Q93" s="384">
        <v>6924</v>
      </c>
    </row>
    <row r="94" spans="1:17">
      <c r="A94" s="380" t="s">
        <v>1205</v>
      </c>
      <c r="B94" s="381" t="s">
        <v>954</v>
      </c>
      <c r="C94" s="381" t="s">
        <v>1220</v>
      </c>
      <c r="D94" s="381" t="s">
        <v>520</v>
      </c>
      <c r="E94" s="382" t="s">
        <v>1221</v>
      </c>
      <c r="F94" s="383">
        <v>4825</v>
      </c>
      <c r="G94" s="384">
        <v>5128</v>
      </c>
      <c r="H94" s="384">
        <v>5286</v>
      </c>
      <c r="I94" s="396">
        <v>5307</v>
      </c>
      <c r="J94" s="427">
        <v>5394</v>
      </c>
      <c r="K94" s="384">
        <v>5396</v>
      </c>
      <c r="L94" s="384">
        <v>5390</v>
      </c>
      <c r="M94" s="384">
        <v>5391</v>
      </c>
      <c r="N94" s="384">
        <v>5088</v>
      </c>
      <c r="O94" s="384">
        <v>5094</v>
      </c>
      <c r="P94" s="384">
        <v>5093</v>
      </c>
      <c r="Q94" s="384">
        <v>5094</v>
      </c>
    </row>
    <row r="95" spans="1:17">
      <c r="A95" s="380" t="s">
        <v>1205</v>
      </c>
      <c r="B95" s="381" t="s">
        <v>954</v>
      </c>
      <c r="C95" s="381" t="s">
        <v>1220</v>
      </c>
      <c r="D95" s="381" t="s">
        <v>560</v>
      </c>
      <c r="E95" s="382" t="s">
        <v>559</v>
      </c>
      <c r="F95" s="383">
        <v>3887</v>
      </c>
      <c r="G95" s="384">
        <v>3595</v>
      </c>
      <c r="H95" s="384">
        <v>3837</v>
      </c>
      <c r="I95" s="396">
        <v>3840</v>
      </c>
      <c r="J95" s="427">
        <v>3813</v>
      </c>
      <c r="K95" s="384">
        <v>3723</v>
      </c>
      <c r="L95" s="384">
        <v>3575</v>
      </c>
      <c r="M95" s="384">
        <v>3573</v>
      </c>
      <c r="N95" s="384">
        <v>3585</v>
      </c>
      <c r="O95" s="384">
        <v>3585</v>
      </c>
      <c r="P95" s="384">
        <v>3585</v>
      </c>
      <c r="Q95" s="384">
        <v>3585</v>
      </c>
    </row>
    <row r="96" spans="1:17">
      <c r="A96" s="380" t="s">
        <v>1205</v>
      </c>
      <c r="B96" s="381" t="s">
        <v>954</v>
      </c>
      <c r="C96" s="381" t="s">
        <v>1220</v>
      </c>
      <c r="D96" s="381" t="s">
        <v>564</v>
      </c>
      <c r="E96" s="382" t="s">
        <v>563</v>
      </c>
      <c r="F96" s="383">
        <v>8066</v>
      </c>
      <c r="G96" s="384">
        <v>7990</v>
      </c>
      <c r="H96" s="384">
        <v>8943</v>
      </c>
      <c r="I96" s="396">
        <v>8880</v>
      </c>
      <c r="J96" s="427">
        <v>7232</v>
      </c>
      <c r="K96" s="384">
        <v>7391</v>
      </c>
      <c r="L96" s="384">
        <v>7429</v>
      </c>
      <c r="M96" s="384">
        <v>7613</v>
      </c>
      <c r="N96" s="384">
        <v>6795</v>
      </c>
      <c r="O96" s="384">
        <v>6952</v>
      </c>
      <c r="P96" s="384">
        <v>6988</v>
      </c>
      <c r="Q96" s="384">
        <v>7156</v>
      </c>
    </row>
    <row r="97" spans="1:17">
      <c r="A97" s="380" t="s">
        <v>1205</v>
      </c>
      <c r="B97" s="381" t="s">
        <v>954</v>
      </c>
      <c r="C97" s="381" t="s">
        <v>1220</v>
      </c>
      <c r="D97" s="381" t="s">
        <v>580</v>
      </c>
      <c r="E97" s="382" t="s">
        <v>1222</v>
      </c>
      <c r="F97" s="383">
        <v>4115</v>
      </c>
      <c r="G97" s="384">
        <v>4063</v>
      </c>
      <c r="H97" s="384">
        <v>4497</v>
      </c>
      <c r="I97" s="396">
        <v>4405</v>
      </c>
      <c r="J97" s="427">
        <v>3788</v>
      </c>
      <c r="K97" s="384">
        <v>3842</v>
      </c>
      <c r="L97" s="384">
        <v>4084</v>
      </c>
      <c r="M97" s="384">
        <v>4175</v>
      </c>
      <c r="N97" s="384">
        <v>3257</v>
      </c>
      <c r="O97" s="384">
        <v>3306</v>
      </c>
      <c r="P97" s="384">
        <v>3512</v>
      </c>
      <c r="Q97" s="384">
        <v>3586</v>
      </c>
    </row>
    <row r="98" spans="1:17">
      <c r="A98" s="380" t="s">
        <v>1223</v>
      </c>
      <c r="B98" s="381" t="s">
        <v>931</v>
      </c>
      <c r="C98" s="381" t="s">
        <v>1224</v>
      </c>
      <c r="D98" s="381" t="s">
        <v>225</v>
      </c>
      <c r="E98" s="382" t="s">
        <v>224</v>
      </c>
      <c r="F98" s="383">
        <v>4853</v>
      </c>
      <c r="G98" s="384">
        <v>4966</v>
      </c>
      <c r="H98" s="384">
        <v>5154</v>
      </c>
      <c r="I98" s="396">
        <v>4874</v>
      </c>
      <c r="J98" s="427">
        <v>4786</v>
      </c>
      <c r="K98" s="384">
        <v>4857</v>
      </c>
      <c r="L98" s="384">
        <v>4987</v>
      </c>
      <c r="M98" s="384">
        <v>4848</v>
      </c>
      <c r="N98" s="384">
        <v>4637</v>
      </c>
      <c r="O98" s="384">
        <v>4703</v>
      </c>
      <c r="P98" s="384">
        <v>4832</v>
      </c>
      <c r="Q98" s="384">
        <v>4699</v>
      </c>
    </row>
    <row r="99" spans="1:17">
      <c r="A99" s="380" t="s">
        <v>1223</v>
      </c>
      <c r="B99" s="381" t="s">
        <v>931</v>
      </c>
      <c r="C99" s="381" t="s">
        <v>1224</v>
      </c>
      <c r="D99" s="381" t="s">
        <v>515</v>
      </c>
      <c r="E99" s="382" t="s">
        <v>514</v>
      </c>
      <c r="F99" s="383">
        <v>4015</v>
      </c>
      <c r="G99" s="384">
        <v>3875</v>
      </c>
      <c r="H99" s="384">
        <v>3967</v>
      </c>
      <c r="I99" s="396">
        <v>3850</v>
      </c>
      <c r="J99" s="427">
        <v>5546</v>
      </c>
      <c r="K99" s="384">
        <v>5363</v>
      </c>
      <c r="L99" s="384">
        <v>5684</v>
      </c>
      <c r="M99" s="384">
        <v>5461</v>
      </c>
      <c r="N99" s="384">
        <v>5380</v>
      </c>
      <c r="O99" s="384">
        <v>5153</v>
      </c>
      <c r="P99" s="384">
        <v>5442</v>
      </c>
      <c r="Q99" s="384">
        <v>5229</v>
      </c>
    </row>
    <row r="100" spans="1:17">
      <c r="A100" s="380" t="s">
        <v>1223</v>
      </c>
      <c r="B100" s="381" t="s">
        <v>931</v>
      </c>
      <c r="C100" s="381" t="s">
        <v>1224</v>
      </c>
      <c r="D100" s="381" t="s">
        <v>592</v>
      </c>
      <c r="E100" s="382" t="s">
        <v>591</v>
      </c>
      <c r="F100" s="383">
        <v>2092</v>
      </c>
      <c r="G100" s="384">
        <v>2165</v>
      </c>
      <c r="H100" s="384">
        <v>2222</v>
      </c>
      <c r="I100" s="396">
        <v>2207</v>
      </c>
      <c r="J100" s="427">
        <v>2808</v>
      </c>
      <c r="K100" s="384">
        <v>2866</v>
      </c>
      <c r="L100" s="384">
        <v>3046</v>
      </c>
      <c r="M100" s="384">
        <v>2911</v>
      </c>
      <c r="N100" s="384">
        <v>2706</v>
      </c>
      <c r="O100" s="384">
        <v>2753</v>
      </c>
      <c r="P100" s="384">
        <v>2935</v>
      </c>
      <c r="Q100" s="384">
        <v>2794</v>
      </c>
    </row>
    <row r="101" spans="1:17">
      <c r="A101" s="380" t="s">
        <v>1223</v>
      </c>
      <c r="B101" s="381" t="s">
        <v>931</v>
      </c>
      <c r="C101" s="381" t="s">
        <v>1224</v>
      </c>
      <c r="D101" s="381" t="s">
        <v>602</v>
      </c>
      <c r="E101" s="382" t="s">
        <v>601</v>
      </c>
      <c r="F101" s="383">
        <v>5893</v>
      </c>
      <c r="G101" s="384">
        <v>5823</v>
      </c>
      <c r="H101" s="384">
        <v>5915</v>
      </c>
      <c r="I101" s="396">
        <v>5869</v>
      </c>
      <c r="J101" s="427">
        <v>5570</v>
      </c>
      <c r="K101" s="384">
        <v>5791</v>
      </c>
      <c r="L101" s="384">
        <v>5856</v>
      </c>
      <c r="M101" s="384">
        <v>5814</v>
      </c>
      <c r="N101" s="384">
        <v>5403</v>
      </c>
      <c r="O101" s="384">
        <v>5617</v>
      </c>
      <c r="P101" s="384">
        <v>5679</v>
      </c>
      <c r="Q101" s="384">
        <v>5640</v>
      </c>
    </row>
    <row r="102" spans="1:17">
      <c r="A102" s="380" t="s">
        <v>1223</v>
      </c>
      <c r="B102" s="381" t="s">
        <v>931</v>
      </c>
      <c r="C102" s="381" t="s">
        <v>1224</v>
      </c>
      <c r="D102" s="381" t="s">
        <v>606</v>
      </c>
      <c r="E102" s="382" t="s">
        <v>605</v>
      </c>
      <c r="F102" s="383">
        <v>6122</v>
      </c>
      <c r="G102" s="384">
        <v>6157</v>
      </c>
      <c r="H102" s="384">
        <v>6327</v>
      </c>
      <c r="I102" s="396">
        <v>6010</v>
      </c>
      <c r="J102" s="427">
        <v>5775</v>
      </c>
      <c r="K102" s="384">
        <v>5806</v>
      </c>
      <c r="L102" s="384">
        <v>5781</v>
      </c>
      <c r="M102" s="384">
        <v>5453</v>
      </c>
      <c r="N102" s="384">
        <v>5602</v>
      </c>
      <c r="O102" s="384">
        <v>5631</v>
      </c>
      <c r="P102" s="384">
        <v>5609</v>
      </c>
      <c r="Q102" s="384">
        <v>5292</v>
      </c>
    </row>
    <row r="103" spans="1:17">
      <c r="A103" s="380" t="s">
        <v>1223</v>
      </c>
      <c r="B103" s="381" t="s">
        <v>931</v>
      </c>
      <c r="C103" s="381" t="s">
        <v>1224</v>
      </c>
      <c r="D103" s="381" t="s">
        <v>630</v>
      </c>
      <c r="E103" s="382" t="s">
        <v>629</v>
      </c>
      <c r="F103" s="383">
        <v>11415</v>
      </c>
      <c r="G103" s="384">
        <v>11119</v>
      </c>
      <c r="H103" s="384">
        <v>12085</v>
      </c>
      <c r="I103" s="396">
        <v>11656</v>
      </c>
      <c r="J103" s="427">
        <v>11085</v>
      </c>
      <c r="K103" s="384">
        <v>11205</v>
      </c>
      <c r="L103" s="384">
        <v>11201</v>
      </c>
      <c r="M103" s="384">
        <v>10952</v>
      </c>
      <c r="N103" s="384">
        <v>10124</v>
      </c>
      <c r="O103" s="384">
        <v>10232</v>
      </c>
      <c r="P103" s="384">
        <v>10231</v>
      </c>
      <c r="Q103" s="384">
        <v>10116</v>
      </c>
    </row>
    <row r="104" spans="1:17">
      <c r="A104" s="380" t="s">
        <v>1223</v>
      </c>
      <c r="B104" s="381" t="s">
        <v>935</v>
      </c>
      <c r="C104" s="381" t="s">
        <v>1225</v>
      </c>
      <c r="D104" s="381" t="s">
        <v>175</v>
      </c>
      <c r="E104" s="382" t="s">
        <v>174</v>
      </c>
      <c r="F104" s="383">
        <v>3326</v>
      </c>
      <c r="G104" s="384">
        <v>3316</v>
      </c>
      <c r="H104" s="384">
        <v>3518</v>
      </c>
      <c r="I104" s="396">
        <v>3262</v>
      </c>
      <c r="J104" s="427">
        <v>3321</v>
      </c>
      <c r="K104" s="384">
        <v>3194</v>
      </c>
      <c r="L104" s="384">
        <v>3340</v>
      </c>
      <c r="M104" s="384">
        <v>3342</v>
      </c>
      <c r="N104" s="384">
        <v>3287</v>
      </c>
      <c r="O104" s="384">
        <v>3161</v>
      </c>
      <c r="P104" s="384">
        <v>3303</v>
      </c>
      <c r="Q104" s="384">
        <v>3303</v>
      </c>
    </row>
    <row r="105" spans="1:17">
      <c r="A105" s="380" t="s">
        <v>1223</v>
      </c>
      <c r="B105" s="381" t="s">
        <v>935</v>
      </c>
      <c r="C105" s="381" t="s">
        <v>1225</v>
      </c>
      <c r="D105" s="381" t="s">
        <v>194</v>
      </c>
      <c r="E105" s="382" t="s">
        <v>193</v>
      </c>
      <c r="F105" s="383">
        <v>8886</v>
      </c>
      <c r="G105" s="384">
        <v>8402</v>
      </c>
      <c r="H105" s="384">
        <v>8681</v>
      </c>
      <c r="I105" s="396">
        <v>8470</v>
      </c>
      <c r="J105" s="427">
        <v>8630</v>
      </c>
      <c r="K105" s="384">
        <v>8570</v>
      </c>
      <c r="L105" s="384">
        <v>8727</v>
      </c>
      <c r="M105" s="384">
        <v>8793</v>
      </c>
      <c r="N105" s="384">
        <v>8630</v>
      </c>
      <c r="O105" s="384">
        <v>8570</v>
      </c>
      <c r="P105" s="384">
        <v>8727</v>
      </c>
      <c r="Q105" s="384">
        <v>8793</v>
      </c>
    </row>
    <row r="106" spans="1:17">
      <c r="A106" s="380" t="s">
        <v>1223</v>
      </c>
      <c r="B106" s="381" t="s">
        <v>935</v>
      </c>
      <c r="C106" s="381" t="s">
        <v>1225</v>
      </c>
      <c r="D106" s="381" t="s">
        <v>287</v>
      </c>
      <c r="E106" s="382" t="s">
        <v>1226</v>
      </c>
      <c r="F106" s="383">
        <v>7801</v>
      </c>
      <c r="G106" s="384">
        <v>7471</v>
      </c>
      <c r="H106" s="384">
        <v>7728</v>
      </c>
      <c r="I106" s="396">
        <v>7400</v>
      </c>
      <c r="J106" s="427">
        <v>7567</v>
      </c>
      <c r="K106" s="384">
        <v>7474</v>
      </c>
      <c r="L106" s="384">
        <v>7706</v>
      </c>
      <c r="M106" s="384">
        <v>7628</v>
      </c>
      <c r="N106" s="384">
        <v>7193</v>
      </c>
      <c r="O106" s="384">
        <v>7105</v>
      </c>
      <c r="P106" s="384">
        <v>7325</v>
      </c>
      <c r="Q106" s="384">
        <v>7251</v>
      </c>
    </row>
    <row r="107" spans="1:17">
      <c r="A107" s="380" t="s">
        <v>1223</v>
      </c>
      <c r="B107" s="381" t="s">
        <v>935</v>
      </c>
      <c r="C107" s="381" t="s">
        <v>1225</v>
      </c>
      <c r="D107" s="381" t="s">
        <v>410</v>
      </c>
      <c r="E107" s="382" t="s">
        <v>409</v>
      </c>
      <c r="F107" s="383">
        <v>7143</v>
      </c>
      <c r="G107" s="384">
        <v>7007</v>
      </c>
      <c r="H107" s="384">
        <v>7432</v>
      </c>
      <c r="I107" s="396">
        <v>7207</v>
      </c>
      <c r="J107" s="427">
        <v>7148</v>
      </c>
      <c r="K107" s="384">
        <v>7098</v>
      </c>
      <c r="L107" s="384">
        <v>7226</v>
      </c>
      <c r="M107" s="384">
        <v>7279</v>
      </c>
      <c r="N107" s="384">
        <v>7148</v>
      </c>
      <c r="O107" s="384">
        <v>7098</v>
      </c>
      <c r="P107" s="384">
        <v>7226</v>
      </c>
      <c r="Q107" s="384">
        <v>7279</v>
      </c>
    </row>
    <row r="108" spans="1:17">
      <c r="A108" s="380" t="s">
        <v>1223</v>
      </c>
      <c r="B108" s="381" t="s">
        <v>935</v>
      </c>
      <c r="C108" s="381" t="s">
        <v>1225</v>
      </c>
      <c r="D108" s="381" t="s">
        <v>538</v>
      </c>
      <c r="E108" s="382" t="s">
        <v>537</v>
      </c>
      <c r="F108" s="383">
        <v>9137</v>
      </c>
      <c r="G108" s="384">
        <v>8909</v>
      </c>
      <c r="H108" s="384">
        <v>9380</v>
      </c>
      <c r="I108" s="396">
        <v>8668</v>
      </c>
      <c r="J108" s="427">
        <v>8864</v>
      </c>
      <c r="K108" s="384">
        <v>8759</v>
      </c>
      <c r="L108" s="384">
        <v>9027</v>
      </c>
      <c r="M108" s="384">
        <v>9026</v>
      </c>
      <c r="N108" s="384">
        <v>7802</v>
      </c>
      <c r="O108" s="384">
        <v>7710</v>
      </c>
      <c r="P108" s="384">
        <v>7944</v>
      </c>
      <c r="Q108" s="384">
        <v>7941</v>
      </c>
    </row>
    <row r="109" spans="1:17">
      <c r="A109" s="380" t="s">
        <v>1223</v>
      </c>
      <c r="B109" s="381" t="s">
        <v>913</v>
      </c>
      <c r="C109" s="381" t="s">
        <v>1227</v>
      </c>
      <c r="D109" s="381" t="s">
        <v>78</v>
      </c>
      <c r="E109" s="382" t="s">
        <v>77</v>
      </c>
      <c r="F109" s="383">
        <v>7927</v>
      </c>
      <c r="G109" s="384">
        <v>7888</v>
      </c>
      <c r="H109" s="384">
        <v>8500</v>
      </c>
      <c r="I109" s="396">
        <v>8368</v>
      </c>
      <c r="J109" s="427">
        <v>7771</v>
      </c>
      <c r="K109" s="384">
        <v>7687</v>
      </c>
      <c r="L109" s="384">
        <v>7728</v>
      </c>
      <c r="M109" s="384">
        <v>6916</v>
      </c>
      <c r="N109" s="384">
        <v>7560</v>
      </c>
      <c r="O109" s="384">
        <v>7473</v>
      </c>
      <c r="P109" s="384">
        <v>7513</v>
      </c>
      <c r="Q109" s="384">
        <v>6727</v>
      </c>
    </row>
    <row r="110" spans="1:17">
      <c r="A110" s="380" t="s">
        <v>1223</v>
      </c>
      <c r="B110" s="381" t="s">
        <v>913</v>
      </c>
      <c r="C110" s="381" t="s">
        <v>1227</v>
      </c>
      <c r="D110" s="381" t="s">
        <v>108</v>
      </c>
      <c r="E110" s="382" t="s">
        <v>107</v>
      </c>
      <c r="F110" s="383">
        <v>5031</v>
      </c>
      <c r="G110" s="384">
        <v>4848</v>
      </c>
      <c r="H110" s="384">
        <v>4963</v>
      </c>
      <c r="I110" s="396">
        <v>4834</v>
      </c>
      <c r="J110" s="427">
        <v>4956</v>
      </c>
      <c r="K110" s="384">
        <v>4797</v>
      </c>
      <c r="L110" s="384">
        <v>4878</v>
      </c>
      <c r="M110" s="384">
        <v>5009</v>
      </c>
      <c r="N110" s="384">
        <v>4261</v>
      </c>
      <c r="O110" s="384">
        <v>4122</v>
      </c>
      <c r="P110" s="384">
        <v>4182</v>
      </c>
      <c r="Q110" s="384">
        <v>4325</v>
      </c>
    </row>
    <row r="111" spans="1:17">
      <c r="A111" s="380" t="s">
        <v>1223</v>
      </c>
      <c r="B111" s="381" t="s">
        <v>913</v>
      </c>
      <c r="C111" s="381" t="s">
        <v>1227</v>
      </c>
      <c r="D111" s="381" t="s">
        <v>138</v>
      </c>
      <c r="E111" s="382" t="s">
        <v>137</v>
      </c>
      <c r="F111" s="383">
        <v>5279</v>
      </c>
      <c r="G111" s="384">
        <v>5089</v>
      </c>
      <c r="H111" s="384">
        <v>5421</v>
      </c>
      <c r="I111" s="396">
        <v>5435</v>
      </c>
      <c r="J111" s="427">
        <v>5235</v>
      </c>
      <c r="K111" s="384">
        <v>5108</v>
      </c>
      <c r="L111" s="384">
        <v>5419</v>
      </c>
      <c r="M111" s="384">
        <v>5290</v>
      </c>
      <c r="N111" s="384">
        <v>4814</v>
      </c>
      <c r="O111" s="384">
        <v>4703</v>
      </c>
      <c r="P111" s="384">
        <v>4988</v>
      </c>
      <c r="Q111" s="384">
        <v>4862</v>
      </c>
    </row>
    <row r="112" spans="1:17">
      <c r="A112" s="380" t="s">
        <v>1223</v>
      </c>
      <c r="B112" s="381" t="s">
        <v>913</v>
      </c>
      <c r="C112" s="381" t="s">
        <v>1227</v>
      </c>
      <c r="D112" s="381" t="s">
        <v>302</v>
      </c>
      <c r="E112" s="382" t="s">
        <v>1228</v>
      </c>
      <c r="F112" s="383">
        <v>6494</v>
      </c>
      <c r="G112" s="384">
        <v>6322</v>
      </c>
      <c r="H112" s="384">
        <v>6621</v>
      </c>
      <c r="I112" s="396">
        <v>6805</v>
      </c>
      <c r="J112" s="427">
        <v>6261.21</v>
      </c>
      <c r="K112" s="384">
        <v>6133.5080000000007</v>
      </c>
      <c r="L112" s="384">
        <v>6418.4549999999999</v>
      </c>
      <c r="M112" s="384">
        <v>5862.59322080523</v>
      </c>
      <c r="N112" s="384">
        <v>5943.5460000000003</v>
      </c>
      <c r="O112" s="384">
        <v>5878.53</v>
      </c>
      <c r="P112" s="384">
        <v>6108.7950000000001</v>
      </c>
      <c r="Q112" s="384">
        <v>5585.0818869817604</v>
      </c>
    </row>
    <row r="113" spans="1:17">
      <c r="A113" s="380" t="s">
        <v>1223</v>
      </c>
      <c r="B113" s="381" t="s">
        <v>913</v>
      </c>
      <c r="C113" s="381" t="s">
        <v>1227</v>
      </c>
      <c r="D113" s="381" t="s">
        <v>431</v>
      </c>
      <c r="E113" s="382" t="s">
        <v>430</v>
      </c>
      <c r="F113" s="383">
        <v>6105</v>
      </c>
      <c r="G113" s="384">
        <v>6126</v>
      </c>
      <c r="H113" s="384">
        <v>6388</v>
      </c>
      <c r="I113" s="396">
        <v>6381</v>
      </c>
      <c r="J113" s="427">
        <v>5907</v>
      </c>
      <c r="K113" s="384">
        <v>5955</v>
      </c>
      <c r="L113" s="384">
        <v>6223</v>
      </c>
      <c r="M113" s="384">
        <v>6122</v>
      </c>
      <c r="N113" s="384">
        <v>5747</v>
      </c>
      <c r="O113" s="384">
        <v>5799</v>
      </c>
      <c r="P113" s="384">
        <v>6061</v>
      </c>
      <c r="Q113" s="384">
        <v>5957</v>
      </c>
    </row>
    <row r="114" spans="1:17">
      <c r="A114" s="380" t="s">
        <v>1223</v>
      </c>
      <c r="B114" s="381" t="s">
        <v>913</v>
      </c>
      <c r="C114" s="381" t="s">
        <v>1227</v>
      </c>
      <c r="D114" s="381" t="s">
        <v>467</v>
      </c>
      <c r="E114" s="382" t="s">
        <v>466</v>
      </c>
      <c r="F114" s="383">
        <v>7232</v>
      </c>
      <c r="G114" s="384">
        <v>7131</v>
      </c>
      <c r="H114" s="384">
        <v>7397</v>
      </c>
      <c r="I114" s="396">
        <v>7451</v>
      </c>
      <c r="J114" s="427">
        <v>7067</v>
      </c>
      <c r="K114" s="384">
        <v>7027</v>
      </c>
      <c r="L114" s="384">
        <v>7376</v>
      </c>
      <c r="M114" s="384">
        <v>7014</v>
      </c>
      <c r="N114" s="384">
        <v>7070</v>
      </c>
      <c r="O114" s="384">
        <v>7147</v>
      </c>
      <c r="P114" s="384">
        <v>7147</v>
      </c>
      <c r="Q114" s="384">
        <v>7068</v>
      </c>
    </row>
    <row r="115" spans="1:17">
      <c r="A115" s="380" t="s">
        <v>1223</v>
      </c>
      <c r="B115" s="381" t="s">
        <v>913</v>
      </c>
      <c r="C115" s="381" t="s">
        <v>1227</v>
      </c>
      <c r="D115" s="381" t="s">
        <v>491</v>
      </c>
      <c r="E115" s="382" t="s">
        <v>490</v>
      </c>
      <c r="F115" s="383">
        <v>8083</v>
      </c>
      <c r="G115" s="384">
        <v>7982</v>
      </c>
      <c r="H115" s="384">
        <v>8627</v>
      </c>
      <c r="I115" s="396">
        <v>8399</v>
      </c>
      <c r="J115" s="427">
        <v>6892.628058155</v>
      </c>
      <c r="K115" s="384">
        <v>7092.022175477</v>
      </c>
      <c r="L115" s="384">
        <v>7412.8326760249993</v>
      </c>
      <c r="M115" s="384">
        <v>7577.9579643899997</v>
      </c>
      <c r="N115" s="384">
        <v>6856.5143264960006</v>
      </c>
      <c r="O115" s="384">
        <v>6997.2638873289998</v>
      </c>
      <c r="P115" s="384">
        <v>7333.3393697439988</v>
      </c>
      <c r="Q115" s="384">
        <v>7537.2826111459999</v>
      </c>
    </row>
    <row r="116" spans="1:17">
      <c r="A116" s="380" t="s">
        <v>1223</v>
      </c>
      <c r="B116" s="381" t="s">
        <v>913</v>
      </c>
      <c r="C116" s="381" t="s">
        <v>1227</v>
      </c>
      <c r="D116" s="381" t="s">
        <v>530</v>
      </c>
      <c r="E116" s="382" t="s">
        <v>529</v>
      </c>
      <c r="F116" s="383">
        <v>4511</v>
      </c>
      <c r="G116" s="384">
        <v>4543</v>
      </c>
      <c r="H116" s="384">
        <v>4823</v>
      </c>
      <c r="I116" s="396">
        <v>4610</v>
      </c>
      <c r="J116" s="427">
        <v>4473</v>
      </c>
      <c r="K116" s="384">
        <v>4501</v>
      </c>
      <c r="L116" s="384">
        <v>4782</v>
      </c>
      <c r="M116" s="384">
        <v>4483</v>
      </c>
      <c r="N116" s="384">
        <v>4338</v>
      </c>
      <c r="O116" s="384">
        <v>4371</v>
      </c>
      <c r="P116" s="384">
        <v>4639</v>
      </c>
      <c r="Q116" s="384">
        <v>4348</v>
      </c>
    </row>
    <row r="117" spans="1:17">
      <c r="A117" s="380" t="s">
        <v>1223</v>
      </c>
      <c r="B117" s="381" t="s">
        <v>913</v>
      </c>
      <c r="C117" s="381" t="s">
        <v>1227</v>
      </c>
      <c r="D117" s="381" t="s">
        <v>562</v>
      </c>
      <c r="E117" s="382" t="s">
        <v>561</v>
      </c>
      <c r="F117" s="383">
        <v>9669</v>
      </c>
      <c r="G117" s="384">
        <v>9539</v>
      </c>
      <c r="H117" s="384">
        <v>9843</v>
      </c>
      <c r="I117" s="396">
        <v>9551</v>
      </c>
      <c r="J117" s="427">
        <v>8187.505887699499</v>
      </c>
      <c r="K117" s="384">
        <v>8327.1487907113988</v>
      </c>
      <c r="L117" s="384">
        <v>8622.9492510588007</v>
      </c>
      <c r="M117" s="384">
        <v>8546.0202266763008</v>
      </c>
      <c r="N117" s="384">
        <v>7370.3964300498992</v>
      </c>
      <c r="O117" s="384">
        <v>7496.1030330436006</v>
      </c>
      <c r="P117" s="384">
        <v>7762.3827386676003</v>
      </c>
      <c r="Q117" s="384">
        <v>7693.1311968848004</v>
      </c>
    </row>
    <row r="118" spans="1:17">
      <c r="A118" s="380" t="s">
        <v>1223</v>
      </c>
      <c r="B118" s="381" t="s">
        <v>913</v>
      </c>
      <c r="C118" s="381" t="s">
        <v>1227</v>
      </c>
      <c r="D118" s="381" t="s">
        <v>578</v>
      </c>
      <c r="E118" s="382" t="s">
        <v>577</v>
      </c>
      <c r="F118" s="383">
        <v>7079</v>
      </c>
      <c r="G118" s="384">
        <v>7024</v>
      </c>
      <c r="H118" s="384">
        <v>7517</v>
      </c>
      <c r="I118" s="396">
        <v>7108</v>
      </c>
      <c r="J118" s="427">
        <v>6906.5468177120001</v>
      </c>
      <c r="K118" s="384">
        <v>6849.3323488549995</v>
      </c>
      <c r="L118" s="384">
        <v>6821.1567070339988</v>
      </c>
      <c r="M118" s="384">
        <v>6837.1351626610012</v>
      </c>
      <c r="N118" s="384">
        <v>7165.4461540880002</v>
      </c>
      <c r="O118" s="384">
        <v>7106.1420427849998</v>
      </c>
      <c r="P118" s="384">
        <v>7077.1032387159994</v>
      </c>
      <c r="Q118" s="384">
        <v>7093.8143290649996</v>
      </c>
    </row>
    <row r="119" spans="1:17">
      <c r="A119" s="380" t="s">
        <v>1223</v>
      </c>
      <c r="B119" s="381" t="s">
        <v>913</v>
      </c>
      <c r="C119" s="381" t="s">
        <v>1227</v>
      </c>
      <c r="D119" s="381" t="s">
        <v>588</v>
      </c>
      <c r="E119" s="382" t="s">
        <v>587</v>
      </c>
      <c r="F119" s="383">
        <v>5735</v>
      </c>
      <c r="G119" s="384">
        <v>5755</v>
      </c>
      <c r="H119" s="384">
        <v>5936</v>
      </c>
      <c r="I119" s="396">
        <v>5576</v>
      </c>
      <c r="J119" s="427">
        <v>5054</v>
      </c>
      <c r="K119" s="384">
        <v>5071</v>
      </c>
      <c r="L119" s="384">
        <v>5066</v>
      </c>
      <c r="M119" s="384">
        <v>5031</v>
      </c>
      <c r="N119" s="384">
        <v>4616</v>
      </c>
      <c r="O119" s="384">
        <v>4633</v>
      </c>
      <c r="P119" s="384">
        <v>4628</v>
      </c>
      <c r="Q119" s="384">
        <v>4593</v>
      </c>
    </row>
    <row r="120" spans="1:17">
      <c r="A120" s="380" t="s">
        <v>1223</v>
      </c>
      <c r="B120" s="381" t="s">
        <v>913</v>
      </c>
      <c r="C120" s="381" t="s">
        <v>1227</v>
      </c>
      <c r="D120" s="381" t="s">
        <v>624</v>
      </c>
      <c r="E120" s="382" t="s">
        <v>623</v>
      </c>
      <c r="F120" s="383">
        <v>8325</v>
      </c>
      <c r="G120" s="384">
        <v>8284</v>
      </c>
      <c r="H120" s="384">
        <v>8310</v>
      </c>
      <c r="I120" s="396">
        <v>8145</v>
      </c>
      <c r="J120" s="427">
        <v>7980</v>
      </c>
      <c r="K120" s="384">
        <v>7945</v>
      </c>
      <c r="L120" s="384">
        <v>7965</v>
      </c>
      <c r="M120" s="384">
        <v>7801</v>
      </c>
      <c r="N120" s="384">
        <v>7848</v>
      </c>
      <c r="O120" s="384">
        <v>7814</v>
      </c>
      <c r="P120" s="384">
        <v>7832</v>
      </c>
      <c r="Q120" s="384">
        <v>7671</v>
      </c>
    </row>
    <row r="121" spans="1:17">
      <c r="A121" s="380" t="s">
        <v>1223</v>
      </c>
      <c r="B121" s="381" t="s">
        <v>911</v>
      </c>
      <c r="C121" s="381" t="s">
        <v>1229</v>
      </c>
      <c r="D121" s="381" t="s">
        <v>70</v>
      </c>
      <c r="E121" s="382" t="s">
        <v>69</v>
      </c>
      <c r="F121" s="383">
        <v>5221</v>
      </c>
      <c r="G121" s="384">
        <v>4900</v>
      </c>
      <c r="H121" s="384">
        <v>4997</v>
      </c>
      <c r="I121" s="396">
        <v>5308</v>
      </c>
      <c r="J121" s="427">
        <v>4961.0150406000002</v>
      </c>
      <c r="K121" s="384">
        <v>4929.2098840999997</v>
      </c>
      <c r="L121" s="384">
        <v>4970.2992323999997</v>
      </c>
      <c r="M121" s="384">
        <v>5008.0871041</v>
      </c>
      <c r="N121" s="384">
        <v>4972.6790886999997</v>
      </c>
      <c r="O121" s="384">
        <v>4939.7689556999994</v>
      </c>
      <c r="P121" s="384">
        <v>4981.9161899000001</v>
      </c>
      <c r="Q121" s="384">
        <v>5019.8761827999997</v>
      </c>
    </row>
    <row r="122" spans="1:17">
      <c r="A122" s="380" t="s">
        <v>1223</v>
      </c>
      <c r="B122" s="381" t="s">
        <v>911</v>
      </c>
      <c r="C122" s="381" t="s">
        <v>1229</v>
      </c>
      <c r="D122" s="381" t="s">
        <v>74</v>
      </c>
      <c r="E122" s="382" t="s">
        <v>73</v>
      </c>
      <c r="F122" s="383">
        <v>5315</v>
      </c>
      <c r="G122" s="384">
        <v>5299</v>
      </c>
      <c r="H122" s="384">
        <v>5612</v>
      </c>
      <c r="I122" s="396">
        <v>5434</v>
      </c>
      <c r="J122" s="427">
        <v>5587</v>
      </c>
      <c r="K122" s="384">
        <v>5210</v>
      </c>
      <c r="L122" s="384">
        <v>5516</v>
      </c>
      <c r="M122" s="384">
        <v>5341</v>
      </c>
      <c r="N122" s="384">
        <v>4987</v>
      </c>
      <c r="O122" s="384">
        <v>4981</v>
      </c>
      <c r="P122" s="384">
        <v>5335</v>
      </c>
      <c r="Q122" s="384">
        <v>5161</v>
      </c>
    </row>
    <row r="123" spans="1:17">
      <c r="A123" s="380" t="s">
        <v>1223</v>
      </c>
      <c r="B123" s="381" t="s">
        <v>911</v>
      </c>
      <c r="C123" s="381" t="s">
        <v>1229</v>
      </c>
      <c r="D123" s="381" t="s">
        <v>145</v>
      </c>
      <c r="E123" s="382" t="s">
        <v>144</v>
      </c>
      <c r="F123" s="383">
        <v>4485</v>
      </c>
      <c r="G123" s="384">
        <v>4406</v>
      </c>
      <c r="H123" s="384">
        <v>4436</v>
      </c>
      <c r="I123" s="396">
        <v>4330</v>
      </c>
      <c r="J123" s="427">
        <v>4467</v>
      </c>
      <c r="K123" s="384">
        <v>4386</v>
      </c>
      <c r="L123" s="384">
        <v>4416</v>
      </c>
      <c r="M123" s="384">
        <v>4414</v>
      </c>
      <c r="N123" s="384">
        <v>4319</v>
      </c>
      <c r="O123" s="384">
        <v>4242</v>
      </c>
      <c r="P123" s="384">
        <v>4269</v>
      </c>
      <c r="Q123" s="384">
        <v>4269</v>
      </c>
    </row>
    <row r="124" spans="1:17">
      <c r="A124" s="380" t="s">
        <v>1223</v>
      </c>
      <c r="B124" s="381" t="s">
        <v>911</v>
      </c>
      <c r="C124" s="381" t="s">
        <v>1229</v>
      </c>
      <c r="D124" s="381" t="s">
        <v>204</v>
      </c>
      <c r="E124" s="382" t="s">
        <v>1230</v>
      </c>
      <c r="F124" s="383">
        <v>10825</v>
      </c>
      <c r="G124" s="384">
        <v>10121</v>
      </c>
      <c r="H124" s="384">
        <v>10879</v>
      </c>
      <c r="I124" s="396">
        <v>10623</v>
      </c>
      <c r="J124" s="427">
        <v>10326.335440700001</v>
      </c>
      <c r="K124" s="384">
        <v>10267.304114999999</v>
      </c>
      <c r="L124" s="384">
        <v>10414.509293899999</v>
      </c>
      <c r="M124" s="384">
        <v>10425.216871799999</v>
      </c>
      <c r="N124" s="384">
        <v>10357.1292739</v>
      </c>
      <c r="O124" s="384">
        <v>10298.856025900001</v>
      </c>
      <c r="P124" s="384">
        <v>10444.1946052</v>
      </c>
      <c r="Q124" s="384">
        <v>10458.298842599999</v>
      </c>
    </row>
    <row r="125" spans="1:17">
      <c r="A125" s="380" t="s">
        <v>1223</v>
      </c>
      <c r="B125" s="381" t="s">
        <v>911</v>
      </c>
      <c r="C125" s="381" t="s">
        <v>1229</v>
      </c>
      <c r="D125" s="381" t="s">
        <v>240</v>
      </c>
      <c r="E125" s="382" t="s">
        <v>239</v>
      </c>
      <c r="F125" s="383">
        <v>3895</v>
      </c>
      <c r="G125" s="384">
        <v>3692</v>
      </c>
      <c r="H125" s="384">
        <v>3820</v>
      </c>
      <c r="I125" s="396">
        <v>3989</v>
      </c>
      <c r="J125" s="427">
        <v>3941</v>
      </c>
      <c r="K125" s="384">
        <v>3645</v>
      </c>
      <c r="L125" s="384">
        <v>3768</v>
      </c>
      <c r="M125" s="384">
        <v>3931</v>
      </c>
      <c r="N125" s="384">
        <v>3875</v>
      </c>
      <c r="O125" s="384">
        <v>3583</v>
      </c>
      <c r="P125" s="384">
        <v>3704</v>
      </c>
      <c r="Q125" s="384">
        <v>3864</v>
      </c>
    </row>
    <row r="126" spans="1:17">
      <c r="A126" s="380" t="s">
        <v>1223</v>
      </c>
      <c r="B126" s="381" t="s">
        <v>911</v>
      </c>
      <c r="C126" s="381" t="s">
        <v>1229</v>
      </c>
      <c r="D126" s="381" t="s">
        <v>257</v>
      </c>
      <c r="E126" s="382" t="s">
        <v>256</v>
      </c>
      <c r="F126" s="383">
        <v>5522</v>
      </c>
      <c r="G126" s="384">
        <v>5358</v>
      </c>
      <c r="H126" s="384">
        <v>5864</v>
      </c>
      <c r="I126" s="396">
        <v>5745</v>
      </c>
      <c r="J126" s="427">
        <v>5494</v>
      </c>
      <c r="K126" s="384">
        <v>5330</v>
      </c>
      <c r="L126" s="384">
        <v>5830</v>
      </c>
      <c r="M126" s="384">
        <v>5764</v>
      </c>
      <c r="N126" s="384">
        <v>5292</v>
      </c>
      <c r="O126" s="384">
        <v>5133</v>
      </c>
      <c r="P126" s="384">
        <v>5619</v>
      </c>
      <c r="Q126" s="384">
        <v>5558</v>
      </c>
    </row>
    <row r="127" spans="1:17">
      <c r="A127" s="380" t="s">
        <v>1223</v>
      </c>
      <c r="B127" s="381" t="s">
        <v>911</v>
      </c>
      <c r="C127" s="381" t="s">
        <v>1229</v>
      </c>
      <c r="D127" s="381" t="s">
        <v>341</v>
      </c>
      <c r="E127" s="382" t="s">
        <v>340</v>
      </c>
      <c r="F127" s="383">
        <v>4331</v>
      </c>
      <c r="G127" s="384">
        <v>4220</v>
      </c>
      <c r="H127" s="384">
        <v>4507</v>
      </c>
      <c r="I127" s="396">
        <v>4552</v>
      </c>
      <c r="J127" s="427">
        <v>4516</v>
      </c>
      <c r="K127" s="384">
        <v>4380</v>
      </c>
      <c r="L127" s="384">
        <v>4803</v>
      </c>
      <c r="M127" s="384">
        <v>4685</v>
      </c>
      <c r="N127" s="384">
        <v>4457</v>
      </c>
      <c r="O127" s="384">
        <v>4321</v>
      </c>
      <c r="P127" s="384">
        <v>4741</v>
      </c>
      <c r="Q127" s="384">
        <v>4624</v>
      </c>
    </row>
    <row r="128" spans="1:17">
      <c r="A128" s="380" t="s">
        <v>1223</v>
      </c>
      <c r="B128" s="381" t="s">
        <v>911</v>
      </c>
      <c r="C128" s="381" t="s">
        <v>1229</v>
      </c>
      <c r="D128" s="381" t="s">
        <v>614</v>
      </c>
      <c r="E128" s="382" t="s">
        <v>613</v>
      </c>
      <c r="F128" s="383">
        <v>3205</v>
      </c>
      <c r="G128" s="384">
        <v>3180</v>
      </c>
      <c r="H128" s="384">
        <v>3475</v>
      </c>
      <c r="I128" s="396">
        <v>3324</v>
      </c>
      <c r="J128" s="427">
        <v>3284</v>
      </c>
      <c r="K128" s="384">
        <v>3160</v>
      </c>
      <c r="L128" s="384">
        <v>3310</v>
      </c>
      <c r="M128" s="384">
        <v>3392</v>
      </c>
      <c r="N128" s="384">
        <v>3272</v>
      </c>
      <c r="O128" s="384">
        <v>3148</v>
      </c>
      <c r="P128" s="384">
        <v>3298</v>
      </c>
      <c r="Q128" s="384">
        <v>3379</v>
      </c>
    </row>
    <row r="129" spans="1:17">
      <c r="A129" s="380" t="s">
        <v>1223</v>
      </c>
      <c r="B129" s="381" t="s">
        <v>948</v>
      </c>
      <c r="C129" s="381" t="s">
        <v>1231</v>
      </c>
      <c r="D129" s="381" t="s">
        <v>266</v>
      </c>
      <c r="E129" s="382" t="s">
        <v>265</v>
      </c>
      <c r="F129" s="383">
        <v>4452</v>
      </c>
      <c r="G129" s="384">
        <v>4116</v>
      </c>
      <c r="H129" s="384">
        <v>4173</v>
      </c>
      <c r="I129" s="396">
        <v>4199</v>
      </c>
      <c r="J129" s="427">
        <v>4183</v>
      </c>
      <c r="K129" s="384">
        <v>4093</v>
      </c>
      <c r="L129" s="384">
        <v>4124</v>
      </c>
      <c r="M129" s="384">
        <v>4099</v>
      </c>
      <c r="N129" s="384">
        <v>3968</v>
      </c>
      <c r="O129" s="384">
        <v>3882</v>
      </c>
      <c r="P129" s="384">
        <v>3914</v>
      </c>
      <c r="Q129" s="384">
        <v>3888</v>
      </c>
    </row>
    <row r="130" spans="1:17">
      <c r="A130" s="380" t="s">
        <v>1223</v>
      </c>
      <c r="B130" s="381" t="s">
        <v>948</v>
      </c>
      <c r="C130" s="381" t="s">
        <v>1231</v>
      </c>
      <c r="D130" s="381" t="s">
        <v>335</v>
      </c>
      <c r="E130" s="382" t="s">
        <v>334</v>
      </c>
      <c r="F130" s="383">
        <v>5502</v>
      </c>
      <c r="G130" s="384">
        <v>5220</v>
      </c>
      <c r="H130" s="384">
        <v>5149</v>
      </c>
      <c r="I130" s="396">
        <v>5174</v>
      </c>
      <c r="J130" s="427">
        <v>5284</v>
      </c>
      <c r="K130" s="384">
        <v>5191</v>
      </c>
      <c r="L130" s="384">
        <v>5251</v>
      </c>
      <c r="M130" s="384">
        <v>5481</v>
      </c>
      <c r="N130" s="384">
        <v>5168</v>
      </c>
      <c r="O130" s="384">
        <v>5080</v>
      </c>
      <c r="P130" s="384">
        <v>5136</v>
      </c>
      <c r="Q130" s="384">
        <v>5362</v>
      </c>
    </row>
    <row r="131" spans="1:17">
      <c r="A131" s="380" t="s">
        <v>1223</v>
      </c>
      <c r="B131" s="381" t="s">
        <v>948</v>
      </c>
      <c r="C131" s="381" t="s">
        <v>1231</v>
      </c>
      <c r="D131" s="381" t="s">
        <v>365</v>
      </c>
      <c r="E131" s="382" t="s">
        <v>364</v>
      </c>
      <c r="F131" s="383">
        <v>12921</v>
      </c>
      <c r="G131" s="384">
        <v>12917</v>
      </c>
      <c r="H131" s="384">
        <v>13433</v>
      </c>
      <c r="I131" s="396">
        <v>13920</v>
      </c>
      <c r="J131" s="427">
        <v>12751</v>
      </c>
      <c r="K131" s="384">
        <v>12900</v>
      </c>
      <c r="L131" s="384">
        <v>12902</v>
      </c>
      <c r="M131" s="384">
        <v>12625</v>
      </c>
      <c r="N131" s="384">
        <v>12431</v>
      </c>
      <c r="O131" s="384">
        <v>12570</v>
      </c>
      <c r="P131" s="384">
        <v>12572</v>
      </c>
      <c r="Q131" s="384">
        <v>12441</v>
      </c>
    </row>
    <row r="132" spans="1:17">
      <c r="A132" s="380" t="s">
        <v>1223</v>
      </c>
      <c r="B132" s="381" t="s">
        <v>948</v>
      </c>
      <c r="C132" s="381" t="s">
        <v>1231</v>
      </c>
      <c r="D132" s="381" t="s">
        <v>536</v>
      </c>
      <c r="E132" s="382" t="s">
        <v>535</v>
      </c>
      <c r="F132" s="383">
        <v>3944</v>
      </c>
      <c r="G132" s="384">
        <v>4064</v>
      </c>
      <c r="H132" s="384">
        <v>4240</v>
      </c>
      <c r="I132" s="396">
        <v>4161</v>
      </c>
      <c r="J132" s="427">
        <v>4060</v>
      </c>
      <c r="K132" s="384">
        <v>4070</v>
      </c>
      <c r="L132" s="384">
        <v>4011</v>
      </c>
      <c r="M132" s="384">
        <v>4035</v>
      </c>
      <c r="N132" s="384">
        <v>4020</v>
      </c>
      <c r="O132" s="384">
        <v>4028</v>
      </c>
      <c r="P132" s="384">
        <v>3971</v>
      </c>
      <c r="Q132" s="384">
        <v>3998</v>
      </c>
    </row>
    <row r="133" spans="1:17">
      <c r="A133" s="380" t="s">
        <v>1223</v>
      </c>
      <c r="B133" s="381" t="s">
        <v>948</v>
      </c>
      <c r="C133" s="381" t="s">
        <v>1231</v>
      </c>
      <c r="D133" s="381" t="s">
        <v>554</v>
      </c>
      <c r="E133" s="382" t="s">
        <v>553</v>
      </c>
      <c r="F133" s="383">
        <v>3742</v>
      </c>
      <c r="G133" s="384">
        <v>3689</v>
      </c>
      <c r="H133" s="384">
        <v>3872</v>
      </c>
      <c r="I133" s="396">
        <v>4071</v>
      </c>
      <c r="J133" s="427">
        <v>3885</v>
      </c>
      <c r="K133" s="384">
        <v>3875</v>
      </c>
      <c r="L133" s="384">
        <v>3566</v>
      </c>
      <c r="M133" s="384">
        <v>4291</v>
      </c>
      <c r="N133" s="384">
        <v>3807</v>
      </c>
      <c r="O133" s="384">
        <v>3797</v>
      </c>
      <c r="P133" s="384">
        <v>3492</v>
      </c>
      <c r="Q133" s="384">
        <v>4204</v>
      </c>
    </row>
    <row r="134" spans="1:17">
      <c r="A134" s="380" t="s">
        <v>1223</v>
      </c>
      <c r="B134" s="381" t="s">
        <v>948</v>
      </c>
      <c r="C134" s="381" t="s">
        <v>1231</v>
      </c>
      <c r="D134" s="381" t="s">
        <v>558</v>
      </c>
      <c r="E134" s="382" t="s">
        <v>557</v>
      </c>
      <c r="F134" s="383">
        <v>6174</v>
      </c>
      <c r="G134" s="384">
        <v>6021</v>
      </c>
      <c r="H134" s="384">
        <v>5869</v>
      </c>
      <c r="I134" s="396">
        <v>5919</v>
      </c>
      <c r="J134" s="427">
        <v>5615</v>
      </c>
      <c r="K134" s="384">
        <v>5484</v>
      </c>
      <c r="L134" s="384">
        <v>5362</v>
      </c>
      <c r="M134" s="384">
        <v>5420</v>
      </c>
      <c r="N134" s="384">
        <v>5475</v>
      </c>
      <c r="O134" s="384">
        <v>5353</v>
      </c>
      <c r="P134" s="384">
        <v>5234</v>
      </c>
      <c r="Q134" s="384">
        <v>5291</v>
      </c>
    </row>
    <row r="135" spans="1:17">
      <c r="A135" s="380" t="s">
        <v>1223</v>
      </c>
      <c r="B135" s="381" t="s">
        <v>939</v>
      </c>
      <c r="C135" s="381" t="s">
        <v>1232</v>
      </c>
      <c r="D135" s="381" t="s">
        <v>171</v>
      </c>
      <c r="E135" s="382" t="s">
        <v>170</v>
      </c>
      <c r="F135" s="383">
        <v>14143</v>
      </c>
      <c r="G135" s="384">
        <v>14099</v>
      </c>
      <c r="H135" s="384">
        <v>14844</v>
      </c>
      <c r="I135" s="396">
        <v>14996</v>
      </c>
      <c r="J135" s="427">
        <v>13851</v>
      </c>
      <c r="K135" s="384">
        <v>14008</v>
      </c>
      <c r="L135" s="384">
        <v>14947</v>
      </c>
      <c r="M135" s="384">
        <v>14555</v>
      </c>
      <c r="N135" s="384">
        <v>13736</v>
      </c>
      <c r="O135" s="384">
        <v>13890</v>
      </c>
      <c r="P135" s="384">
        <v>14823</v>
      </c>
      <c r="Q135" s="384">
        <v>14431</v>
      </c>
    </row>
    <row r="136" spans="1:17">
      <c r="A136" s="380" t="s">
        <v>1223</v>
      </c>
      <c r="B136" s="381" t="s">
        <v>939</v>
      </c>
      <c r="C136" s="381" t="s">
        <v>1232</v>
      </c>
      <c r="D136" s="381" t="s">
        <v>243</v>
      </c>
      <c r="E136" s="382" t="s">
        <v>242</v>
      </c>
      <c r="F136" s="383">
        <v>6328</v>
      </c>
      <c r="G136" s="384">
        <v>6298</v>
      </c>
      <c r="H136" s="384">
        <v>6588</v>
      </c>
      <c r="I136" s="396">
        <v>6989</v>
      </c>
      <c r="J136" s="427">
        <v>6321</v>
      </c>
      <c r="K136" s="384">
        <v>6189</v>
      </c>
      <c r="L136" s="384">
        <v>6465</v>
      </c>
      <c r="M136" s="384">
        <v>6458</v>
      </c>
      <c r="N136" s="384">
        <v>6195</v>
      </c>
      <c r="O136" s="384">
        <v>6061</v>
      </c>
      <c r="P136" s="384">
        <v>6338</v>
      </c>
      <c r="Q136" s="384">
        <v>6330</v>
      </c>
    </row>
    <row r="137" spans="1:17">
      <c r="A137" s="380" t="s">
        <v>1223</v>
      </c>
      <c r="B137" s="381" t="s">
        <v>939</v>
      </c>
      <c r="C137" s="381" t="s">
        <v>1232</v>
      </c>
      <c r="D137" s="381" t="s">
        <v>395</v>
      </c>
      <c r="E137" s="382" t="s">
        <v>394</v>
      </c>
      <c r="F137" s="383">
        <v>3845</v>
      </c>
      <c r="G137" s="384">
        <v>3713</v>
      </c>
      <c r="H137" s="384">
        <v>3916</v>
      </c>
      <c r="I137" s="396">
        <v>3878</v>
      </c>
      <c r="J137" s="427">
        <v>3622</v>
      </c>
      <c r="K137" s="384">
        <v>3577</v>
      </c>
      <c r="L137" s="384">
        <v>3711</v>
      </c>
      <c r="M137" s="384">
        <v>3962</v>
      </c>
      <c r="N137" s="384">
        <v>3548</v>
      </c>
      <c r="O137" s="384">
        <v>3504</v>
      </c>
      <c r="P137" s="384">
        <v>3634</v>
      </c>
      <c r="Q137" s="384">
        <v>3883</v>
      </c>
    </row>
    <row r="138" spans="1:17">
      <c r="A138" s="380" t="s">
        <v>1223</v>
      </c>
      <c r="B138" s="381" t="s">
        <v>939</v>
      </c>
      <c r="C138" s="381" t="s">
        <v>1232</v>
      </c>
      <c r="D138" s="381" t="s">
        <v>398</v>
      </c>
      <c r="E138" s="382" t="s">
        <v>397</v>
      </c>
      <c r="F138" s="383">
        <v>4395</v>
      </c>
      <c r="G138" s="384">
        <v>4503</v>
      </c>
      <c r="H138" s="384">
        <v>4760</v>
      </c>
      <c r="I138" s="396">
        <v>4691</v>
      </c>
      <c r="J138" s="427">
        <v>4310</v>
      </c>
      <c r="K138" s="384">
        <v>4256</v>
      </c>
      <c r="L138" s="384">
        <v>4415</v>
      </c>
      <c r="M138" s="384">
        <v>4709</v>
      </c>
      <c r="N138" s="384">
        <v>4223</v>
      </c>
      <c r="O138" s="384">
        <v>4170</v>
      </c>
      <c r="P138" s="384">
        <v>4324</v>
      </c>
      <c r="Q138" s="384">
        <v>4613</v>
      </c>
    </row>
    <row r="139" spans="1:17">
      <c r="A139" s="380" t="s">
        <v>1223</v>
      </c>
      <c r="B139" s="381" t="s">
        <v>939</v>
      </c>
      <c r="C139" s="381" t="s">
        <v>1232</v>
      </c>
      <c r="D139" s="381" t="s">
        <v>443</v>
      </c>
      <c r="E139" s="382" t="s">
        <v>442</v>
      </c>
      <c r="F139" s="383">
        <v>5975</v>
      </c>
      <c r="G139" s="384">
        <v>5811</v>
      </c>
      <c r="H139" s="384">
        <v>6187</v>
      </c>
      <c r="I139" s="396">
        <v>6752</v>
      </c>
      <c r="J139" s="427">
        <v>5581</v>
      </c>
      <c r="K139" s="384">
        <v>5529</v>
      </c>
      <c r="L139" s="384">
        <v>5813</v>
      </c>
      <c r="M139" s="384">
        <v>6159</v>
      </c>
      <c r="N139" s="384">
        <v>5480</v>
      </c>
      <c r="O139" s="384">
        <v>5432</v>
      </c>
      <c r="P139" s="384">
        <v>5710</v>
      </c>
      <c r="Q139" s="384">
        <v>6049</v>
      </c>
    </row>
    <row r="140" spans="1:17">
      <c r="A140" s="380" t="s">
        <v>1223</v>
      </c>
      <c r="B140" s="381" t="s">
        <v>939</v>
      </c>
      <c r="C140" s="381" t="s">
        <v>1232</v>
      </c>
      <c r="D140" s="381" t="s">
        <v>452</v>
      </c>
      <c r="E140" s="382" t="s">
        <v>451</v>
      </c>
      <c r="F140" s="383">
        <v>8210</v>
      </c>
      <c r="G140" s="384">
        <v>8341</v>
      </c>
      <c r="H140" s="384">
        <v>8476</v>
      </c>
      <c r="I140" s="396">
        <v>8850</v>
      </c>
      <c r="J140" s="427">
        <v>8131</v>
      </c>
      <c r="K140" s="384">
        <v>8219</v>
      </c>
      <c r="L140" s="384">
        <v>7953</v>
      </c>
      <c r="M140" s="384">
        <v>8425</v>
      </c>
      <c r="N140" s="384">
        <v>8154</v>
      </c>
      <c r="O140" s="384">
        <v>8243</v>
      </c>
      <c r="P140" s="384">
        <v>7976</v>
      </c>
      <c r="Q140" s="384">
        <v>8449</v>
      </c>
    </row>
    <row r="141" spans="1:17">
      <c r="A141" s="380" t="s">
        <v>1223</v>
      </c>
      <c r="B141" s="381" t="s">
        <v>939</v>
      </c>
      <c r="C141" s="381" t="s">
        <v>1232</v>
      </c>
      <c r="D141" s="381" t="s">
        <v>540</v>
      </c>
      <c r="E141" s="382" t="s">
        <v>539</v>
      </c>
      <c r="F141" s="383">
        <v>4247</v>
      </c>
      <c r="G141" s="384">
        <v>4133</v>
      </c>
      <c r="H141" s="384">
        <v>4269</v>
      </c>
      <c r="I141" s="396">
        <v>4181</v>
      </c>
      <c r="J141" s="427">
        <v>4137</v>
      </c>
      <c r="K141" s="384">
        <v>4006</v>
      </c>
      <c r="L141" s="384">
        <v>4031</v>
      </c>
      <c r="M141" s="384">
        <v>4120</v>
      </c>
      <c r="N141" s="384">
        <v>4053</v>
      </c>
      <c r="O141" s="384">
        <v>3926</v>
      </c>
      <c r="P141" s="384">
        <v>3952</v>
      </c>
      <c r="Q141" s="384">
        <v>4038</v>
      </c>
    </row>
    <row r="142" spans="1:17">
      <c r="A142" s="380" t="s">
        <v>1223</v>
      </c>
      <c r="B142" s="381" t="s">
        <v>939</v>
      </c>
      <c r="C142" s="381" t="s">
        <v>1232</v>
      </c>
      <c r="D142" s="381" t="s">
        <v>566</v>
      </c>
      <c r="E142" s="382" t="s">
        <v>565</v>
      </c>
      <c r="F142" s="383">
        <v>8808</v>
      </c>
      <c r="G142" s="384">
        <v>7025</v>
      </c>
      <c r="H142" s="384">
        <v>7140</v>
      </c>
      <c r="I142" s="396">
        <v>7849</v>
      </c>
      <c r="J142" s="427">
        <v>7834</v>
      </c>
      <c r="K142" s="384">
        <v>7740</v>
      </c>
      <c r="L142" s="384">
        <v>7810</v>
      </c>
      <c r="M142" s="384">
        <v>7532</v>
      </c>
      <c r="N142" s="384">
        <v>7776</v>
      </c>
      <c r="O142" s="384">
        <v>7679</v>
      </c>
      <c r="P142" s="384">
        <v>7749</v>
      </c>
      <c r="Q142" s="384">
        <v>7472</v>
      </c>
    </row>
    <row r="143" spans="1:17">
      <c r="A143" s="380" t="s">
        <v>1223</v>
      </c>
      <c r="B143" s="381" t="s">
        <v>943</v>
      </c>
      <c r="C143" s="381" t="s">
        <v>1233</v>
      </c>
      <c r="D143" s="381" t="s">
        <v>211</v>
      </c>
      <c r="E143" s="382" t="s">
        <v>210</v>
      </c>
      <c r="F143" s="383">
        <v>7198</v>
      </c>
      <c r="G143" s="384">
        <v>6984</v>
      </c>
      <c r="H143" s="384">
        <v>7172</v>
      </c>
      <c r="I143" s="396">
        <v>7140</v>
      </c>
      <c r="J143" s="427">
        <v>7070</v>
      </c>
      <c r="K143" s="384">
        <v>7150</v>
      </c>
      <c r="L143" s="384">
        <v>7150</v>
      </c>
      <c r="M143" s="384">
        <v>6990</v>
      </c>
      <c r="N143" s="384">
        <v>7180</v>
      </c>
      <c r="O143" s="384">
        <v>7265</v>
      </c>
      <c r="P143" s="384">
        <v>7265</v>
      </c>
      <c r="Q143" s="384">
        <v>7100</v>
      </c>
    </row>
    <row r="144" spans="1:17">
      <c r="A144" s="380" t="s">
        <v>1223</v>
      </c>
      <c r="B144" s="381" t="s">
        <v>943</v>
      </c>
      <c r="C144" s="381" t="s">
        <v>1233</v>
      </c>
      <c r="D144" s="381" t="s">
        <v>269</v>
      </c>
      <c r="E144" s="382" t="s">
        <v>268</v>
      </c>
      <c r="F144" s="383">
        <v>3522</v>
      </c>
      <c r="G144" s="384">
        <v>3239</v>
      </c>
      <c r="H144" s="384">
        <v>3466</v>
      </c>
      <c r="I144" s="396">
        <v>3555</v>
      </c>
      <c r="J144" s="427">
        <v>3117.9745386792001</v>
      </c>
      <c r="K144" s="384">
        <v>3308.3351811623997</v>
      </c>
      <c r="L144" s="384">
        <v>3261.4545081389997</v>
      </c>
      <c r="M144" s="384">
        <v>3208.8979343650999</v>
      </c>
      <c r="N144" s="384">
        <v>3206.5471496538999</v>
      </c>
      <c r="O144" s="384">
        <v>3241.7839315249998</v>
      </c>
      <c r="P144" s="384">
        <v>3241.7839315249998</v>
      </c>
      <c r="Q144" s="384">
        <v>3206.5471496629998</v>
      </c>
    </row>
    <row r="145" spans="1:17">
      <c r="A145" s="380" t="s">
        <v>1223</v>
      </c>
      <c r="B145" s="381" t="s">
        <v>943</v>
      </c>
      <c r="C145" s="381" t="s">
        <v>1233</v>
      </c>
      <c r="D145" s="381" t="s">
        <v>281</v>
      </c>
      <c r="E145" s="382" t="s">
        <v>280</v>
      </c>
      <c r="F145" s="383">
        <v>3413</v>
      </c>
      <c r="G145" s="384">
        <v>3358</v>
      </c>
      <c r="H145" s="384">
        <v>3617</v>
      </c>
      <c r="I145" s="396">
        <v>3670</v>
      </c>
      <c r="J145" s="427">
        <v>3279.3433069149996</v>
      </c>
      <c r="K145" s="384">
        <v>3333.8499388099999</v>
      </c>
      <c r="L145" s="384">
        <v>3553.175881396</v>
      </c>
      <c r="M145" s="384">
        <v>3335.4667777880004</v>
      </c>
      <c r="N145" s="384">
        <v>3160.8652212220004</v>
      </c>
      <c r="O145" s="384">
        <v>3207.5312310460004</v>
      </c>
      <c r="P145" s="384">
        <v>3419.3573428180007</v>
      </c>
      <c r="Q145" s="384">
        <v>3213.2767722799999</v>
      </c>
    </row>
    <row r="146" spans="1:17">
      <c r="A146" s="380" t="s">
        <v>1223</v>
      </c>
      <c r="B146" s="381" t="s">
        <v>943</v>
      </c>
      <c r="C146" s="381" t="s">
        <v>1233</v>
      </c>
      <c r="D146" s="381" t="s">
        <v>317</v>
      </c>
      <c r="E146" s="382" t="s">
        <v>316</v>
      </c>
      <c r="F146" s="383">
        <v>7988</v>
      </c>
      <c r="G146" s="384">
        <v>7832</v>
      </c>
      <c r="H146" s="384">
        <v>8097</v>
      </c>
      <c r="I146" s="396">
        <v>8375</v>
      </c>
      <c r="J146" s="427">
        <v>8182.5537602940003</v>
      </c>
      <c r="K146" s="384">
        <v>8278.1956074049995</v>
      </c>
      <c r="L146" s="384">
        <v>8275.7271034679998</v>
      </c>
      <c r="M146" s="384">
        <v>8096.7859288309992</v>
      </c>
      <c r="N146" s="384">
        <v>8241.423181058999</v>
      </c>
      <c r="O146" s="384">
        <v>8337.7393309409999</v>
      </c>
      <c r="P146" s="384">
        <v>8335.2590159800002</v>
      </c>
      <c r="Q146" s="384">
        <v>8243.9034960200006</v>
      </c>
    </row>
    <row r="147" spans="1:17">
      <c r="A147" s="380" t="s">
        <v>1223</v>
      </c>
      <c r="B147" s="381" t="s">
        <v>943</v>
      </c>
      <c r="C147" s="381" t="s">
        <v>1233</v>
      </c>
      <c r="D147" s="381" t="s">
        <v>419</v>
      </c>
      <c r="E147" s="382" t="s">
        <v>418</v>
      </c>
      <c r="F147" s="383">
        <v>3528</v>
      </c>
      <c r="G147" s="384">
        <v>3630</v>
      </c>
      <c r="H147" s="384">
        <v>3638</v>
      </c>
      <c r="I147" s="396">
        <v>3784</v>
      </c>
      <c r="J147" s="427">
        <v>3562</v>
      </c>
      <c r="K147" s="384">
        <v>3624</v>
      </c>
      <c r="L147" s="384">
        <v>3593</v>
      </c>
      <c r="M147" s="384">
        <v>3508</v>
      </c>
      <c r="N147" s="384">
        <v>3531</v>
      </c>
      <c r="O147" s="384">
        <v>3626</v>
      </c>
      <c r="P147" s="384">
        <v>3624</v>
      </c>
      <c r="Q147" s="384">
        <v>3529</v>
      </c>
    </row>
    <row r="148" spans="1:17">
      <c r="A148" s="380" t="s">
        <v>1223</v>
      </c>
      <c r="B148" s="381" t="s">
        <v>943</v>
      </c>
      <c r="C148" s="381" t="s">
        <v>1233</v>
      </c>
      <c r="D148" s="381" t="s">
        <v>428</v>
      </c>
      <c r="E148" s="382" t="s">
        <v>427</v>
      </c>
      <c r="F148" s="383">
        <v>4355</v>
      </c>
      <c r="G148" s="384">
        <v>4468</v>
      </c>
      <c r="H148" s="384">
        <v>4657</v>
      </c>
      <c r="I148" s="396">
        <v>4664</v>
      </c>
      <c r="J148" s="427">
        <v>4143.3391369390001</v>
      </c>
      <c r="K148" s="384">
        <v>4189.4637428180004</v>
      </c>
      <c r="L148" s="384">
        <v>4189.4637428180004</v>
      </c>
      <c r="M148" s="384">
        <v>4098.2145309590005</v>
      </c>
      <c r="N148" s="384">
        <v>3535.1969414069999</v>
      </c>
      <c r="O148" s="384">
        <v>3574.638666024</v>
      </c>
      <c r="P148" s="384">
        <v>3574.6386660239996</v>
      </c>
      <c r="Q148" s="384">
        <v>3501.6353321010001</v>
      </c>
    </row>
    <row r="149" spans="1:17">
      <c r="A149" s="380" t="s">
        <v>1223</v>
      </c>
      <c r="B149" s="381" t="s">
        <v>943</v>
      </c>
      <c r="C149" s="381" t="s">
        <v>1233</v>
      </c>
      <c r="D149" s="381" t="s">
        <v>497</v>
      </c>
      <c r="E149" s="382" t="s">
        <v>496</v>
      </c>
      <c r="F149" s="383">
        <v>3478</v>
      </c>
      <c r="G149" s="384">
        <v>3004</v>
      </c>
      <c r="H149" s="384">
        <v>2976</v>
      </c>
      <c r="I149" s="396">
        <v>2793</v>
      </c>
      <c r="J149" s="427">
        <v>2949.3927490669998</v>
      </c>
      <c r="K149" s="384">
        <v>3135.6500411633997</v>
      </c>
      <c r="L149" s="384">
        <v>3089.4453519425997</v>
      </c>
      <c r="M149" s="384">
        <v>3040.3635922233998</v>
      </c>
      <c r="N149" s="384">
        <v>3036.4587975035001</v>
      </c>
      <c r="O149" s="384">
        <v>3069.8264765928998</v>
      </c>
      <c r="P149" s="384">
        <v>3069.8264765928998</v>
      </c>
      <c r="Q149" s="384">
        <v>3036.4587974935002</v>
      </c>
    </row>
    <row r="150" spans="1:17">
      <c r="A150" s="380" t="s">
        <v>1223</v>
      </c>
      <c r="B150" s="381" t="s">
        <v>943</v>
      </c>
      <c r="C150" s="381" t="s">
        <v>1233</v>
      </c>
      <c r="D150" s="381" t="s">
        <v>590</v>
      </c>
      <c r="E150" s="382" t="s">
        <v>589</v>
      </c>
      <c r="F150" s="383">
        <v>9481</v>
      </c>
      <c r="G150" s="384">
        <v>8398</v>
      </c>
      <c r="H150" s="384">
        <v>8244</v>
      </c>
      <c r="I150" s="396">
        <v>8176</v>
      </c>
      <c r="J150" s="427">
        <v>8228.2864967161986</v>
      </c>
      <c r="K150" s="384">
        <v>8029.8033971789</v>
      </c>
      <c r="L150" s="384">
        <v>7856.2092483789002</v>
      </c>
      <c r="M150" s="384">
        <v>7611.6754792536003</v>
      </c>
      <c r="N150" s="384">
        <v>7415.0780987192011</v>
      </c>
      <c r="O150" s="384">
        <v>7496.5624734457006</v>
      </c>
      <c r="P150" s="384">
        <v>7496.5624734457015</v>
      </c>
      <c r="Q150" s="384">
        <v>7415.0780987173002</v>
      </c>
    </row>
    <row r="151" spans="1:17">
      <c r="A151" s="380" t="s">
        <v>1223</v>
      </c>
      <c r="B151" s="381" t="s">
        <v>901</v>
      </c>
      <c r="C151" s="381" t="s">
        <v>1234</v>
      </c>
      <c r="D151" s="381" t="s">
        <v>36</v>
      </c>
      <c r="E151" s="382" t="s">
        <v>35</v>
      </c>
      <c r="F151" s="383">
        <v>7738</v>
      </c>
      <c r="G151" s="384">
        <v>7457</v>
      </c>
      <c r="H151" s="384">
        <v>7808</v>
      </c>
      <c r="I151" s="396">
        <v>8087</v>
      </c>
      <c r="J151" s="427">
        <v>7881</v>
      </c>
      <c r="K151" s="384">
        <v>7590</v>
      </c>
      <c r="L151" s="384">
        <v>7940</v>
      </c>
      <c r="M151" s="384">
        <v>7914</v>
      </c>
      <c r="N151" s="384">
        <v>8112</v>
      </c>
      <c r="O151" s="384">
        <v>7813</v>
      </c>
      <c r="P151" s="384">
        <v>8172</v>
      </c>
      <c r="Q151" s="384">
        <v>8145</v>
      </c>
    </row>
    <row r="152" spans="1:17">
      <c r="A152" s="380" t="s">
        <v>1223</v>
      </c>
      <c r="B152" s="381" t="s">
        <v>901</v>
      </c>
      <c r="C152" s="381" t="s">
        <v>1234</v>
      </c>
      <c r="D152" s="381" t="s">
        <v>47</v>
      </c>
      <c r="E152" s="382" t="s">
        <v>46</v>
      </c>
      <c r="F152" s="383">
        <v>2829</v>
      </c>
      <c r="G152" s="384">
        <v>2800</v>
      </c>
      <c r="H152" s="384">
        <v>2828</v>
      </c>
      <c r="I152" s="396">
        <v>2880</v>
      </c>
      <c r="J152" s="427">
        <v>2626</v>
      </c>
      <c r="K152" s="384">
        <v>2605</v>
      </c>
      <c r="L152" s="384">
        <v>2627</v>
      </c>
      <c r="M152" s="384">
        <v>2614</v>
      </c>
      <c r="N152" s="384">
        <v>2532</v>
      </c>
      <c r="O152" s="384">
        <v>2514</v>
      </c>
      <c r="P152" s="384">
        <v>2537</v>
      </c>
      <c r="Q152" s="384">
        <v>2468</v>
      </c>
    </row>
    <row r="153" spans="1:17">
      <c r="A153" s="380" t="s">
        <v>1223</v>
      </c>
      <c r="B153" s="381" t="s">
        <v>901</v>
      </c>
      <c r="C153" s="381" t="s">
        <v>1234</v>
      </c>
      <c r="D153" s="381" t="s">
        <v>182</v>
      </c>
      <c r="E153" s="382" t="s">
        <v>181</v>
      </c>
      <c r="F153" s="383">
        <v>9445</v>
      </c>
      <c r="G153" s="384">
        <v>9713</v>
      </c>
      <c r="H153" s="384">
        <v>9647</v>
      </c>
      <c r="I153" s="396">
        <v>9728</v>
      </c>
      <c r="J153" s="427">
        <v>9319</v>
      </c>
      <c r="K153" s="384">
        <v>9423</v>
      </c>
      <c r="L153" s="384">
        <v>9537</v>
      </c>
      <c r="M153" s="384">
        <v>9135</v>
      </c>
      <c r="N153" s="384">
        <v>9254</v>
      </c>
      <c r="O153" s="384">
        <v>9356</v>
      </c>
      <c r="P153" s="384">
        <v>9468</v>
      </c>
      <c r="Q153" s="384">
        <v>9162</v>
      </c>
    </row>
    <row r="154" spans="1:17">
      <c r="A154" s="380" t="s">
        <v>1223</v>
      </c>
      <c r="B154" s="381" t="s">
        <v>901</v>
      </c>
      <c r="C154" s="381" t="s">
        <v>1234</v>
      </c>
      <c r="D154" s="381" t="s">
        <v>485</v>
      </c>
      <c r="E154" s="382" t="s">
        <v>484</v>
      </c>
      <c r="F154" s="383">
        <v>6885</v>
      </c>
      <c r="G154" s="384">
        <v>6944</v>
      </c>
      <c r="H154" s="384">
        <v>7390</v>
      </c>
      <c r="I154" s="396">
        <v>7080</v>
      </c>
      <c r="J154" s="427">
        <v>6934</v>
      </c>
      <c r="K154" s="384">
        <v>7010</v>
      </c>
      <c r="L154" s="384">
        <v>7010</v>
      </c>
      <c r="M154" s="384">
        <v>6858</v>
      </c>
      <c r="N154" s="384">
        <v>6934</v>
      </c>
      <c r="O154" s="384">
        <v>7010</v>
      </c>
      <c r="P154" s="384">
        <v>7010</v>
      </c>
      <c r="Q154" s="384">
        <v>6858</v>
      </c>
    </row>
    <row r="155" spans="1:17">
      <c r="A155" s="380" t="s">
        <v>1223</v>
      </c>
      <c r="B155" s="381" t="s">
        <v>901</v>
      </c>
      <c r="C155" s="381" t="s">
        <v>1234</v>
      </c>
      <c r="D155" s="381" t="s">
        <v>500</v>
      </c>
      <c r="E155" s="382" t="s">
        <v>499</v>
      </c>
      <c r="F155" s="383">
        <v>15568</v>
      </c>
      <c r="G155" s="384">
        <v>14893</v>
      </c>
      <c r="H155" s="384">
        <v>16118</v>
      </c>
      <c r="I155" s="396">
        <v>15409</v>
      </c>
      <c r="J155" s="427">
        <v>13754.724128559999</v>
      </c>
      <c r="K155" s="384">
        <v>13851.683584262002</v>
      </c>
      <c r="L155" s="384">
        <v>14969.630621513999</v>
      </c>
      <c r="M155" s="384">
        <v>14762.649001211999</v>
      </c>
      <c r="N155" s="384">
        <v>13550.971279538999</v>
      </c>
      <c r="O155" s="384">
        <v>13650.261869398</v>
      </c>
      <c r="P155" s="384">
        <v>14737.717971347</v>
      </c>
      <c r="Q155" s="384">
        <v>14555.648218658</v>
      </c>
    </row>
    <row r="156" spans="1:17">
      <c r="A156" s="380" t="s">
        <v>1223</v>
      </c>
      <c r="B156" s="381" t="s">
        <v>920</v>
      </c>
      <c r="C156" s="381" t="s">
        <v>1235</v>
      </c>
      <c r="D156" s="381" t="s">
        <v>5</v>
      </c>
      <c r="E156" s="382" t="s">
        <v>1236</v>
      </c>
      <c r="F156" s="383">
        <v>4053</v>
      </c>
      <c r="G156" s="384">
        <v>4031</v>
      </c>
      <c r="H156" s="384">
        <v>4436</v>
      </c>
      <c r="I156" s="396">
        <v>4706</v>
      </c>
      <c r="J156" s="427">
        <v>3564</v>
      </c>
      <c r="K156" s="384">
        <v>3684</v>
      </c>
      <c r="L156" s="384">
        <v>3897</v>
      </c>
      <c r="M156" s="384">
        <v>4022</v>
      </c>
      <c r="N156" s="384">
        <v>3591</v>
      </c>
      <c r="O156" s="384">
        <v>3718</v>
      </c>
      <c r="P156" s="384">
        <v>3923</v>
      </c>
      <c r="Q156" s="384">
        <v>4080</v>
      </c>
    </row>
    <row r="157" spans="1:17">
      <c r="A157" s="380" t="s">
        <v>1223</v>
      </c>
      <c r="B157" s="381" t="s">
        <v>920</v>
      </c>
      <c r="C157" s="381" t="s">
        <v>1235</v>
      </c>
      <c r="D157" s="381" t="s">
        <v>85</v>
      </c>
      <c r="E157" s="382" t="s">
        <v>84</v>
      </c>
      <c r="F157" s="383">
        <v>3021</v>
      </c>
      <c r="G157" s="384">
        <v>3246</v>
      </c>
      <c r="H157" s="384">
        <v>3082</v>
      </c>
      <c r="I157" s="396">
        <v>3279</v>
      </c>
      <c r="J157" s="427">
        <v>3023</v>
      </c>
      <c r="K157" s="384">
        <v>3121</v>
      </c>
      <c r="L157" s="384">
        <v>2963</v>
      </c>
      <c r="M157" s="384">
        <v>3152</v>
      </c>
      <c r="N157" s="384">
        <v>2818</v>
      </c>
      <c r="O157" s="384">
        <v>3025</v>
      </c>
      <c r="P157" s="384">
        <v>2874</v>
      </c>
      <c r="Q157" s="384">
        <v>3056</v>
      </c>
    </row>
    <row r="158" spans="1:17">
      <c r="A158" s="380" t="s">
        <v>1223</v>
      </c>
      <c r="B158" s="381" t="s">
        <v>920</v>
      </c>
      <c r="C158" s="381" t="s">
        <v>1235</v>
      </c>
      <c r="D158" s="381" t="s">
        <v>88</v>
      </c>
      <c r="E158" s="382" t="s">
        <v>87</v>
      </c>
      <c r="F158" s="383">
        <v>9313</v>
      </c>
      <c r="G158" s="384">
        <v>9351</v>
      </c>
      <c r="H158" s="384">
        <v>9519</v>
      </c>
      <c r="I158" s="396">
        <v>9433</v>
      </c>
      <c r="J158" s="427">
        <v>9421</v>
      </c>
      <c r="K158" s="384">
        <v>9084</v>
      </c>
      <c r="L158" s="384">
        <v>9243</v>
      </c>
      <c r="M158" s="384">
        <v>9155</v>
      </c>
      <c r="N158" s="384">
        <v>8789</v>
      </c>
      <c r="O158" s="384">
        <v>8809</v>
      </c>
      <c r="P158" s="384">
        <v>8959</v>
      </c>
      <c r="Q158" s="384">
        <v>8872</v>
      </c>
    </row>
    <row r="159" spans="1:17">
      <c r="A159" s="380" t="s">
        <v>1223</v>
      </c>
      <c r="B159" s="381" t="s">
        <v>920</v>
      </c>
      <c r="C159" s="381" t="s">
        <v>1235</v>
      </c>
      <c r="D159" s="381" t="s">
        <v>112</v>
      </c>
      <c r="E159" s="382" t="s">
        <v>111</v>
      </c>
      <c r="F159" s="383">
        <v>6134</v>
      </c>
      <c r="G159" s="384">
        <v>5870</v>
      </c>
      <c r="H159" s="384">
        <v>6575</v>
      </c>
      <c r="I159" s="396">
        <v>6035</v>
      </c>
      <c r="J159" s="427">
        <v>6124</v>
      </c>
      <c r="K159" s="384">
        <v>5860</v>
      </c>
      <c r="L159" s="384">
        <v>6561</v>
      </c>
      <c r="M159" s="384">
        <v>6145</v>
      </c>
      <c r="N159" s="384">
        <v>6093</v>
      </c>
      <c r="O159" s="384">
        <v>5832</v>
      </c>
      <c r="P159" s="384">
        <v>6529</v>
      </c>
      <c r="Q159" s="384">
        <v>6114</v>
      </c>
    </row>
    <row r="160" spans="1:17">
      <c r="A160" s="380" t="s">
        <v>1223</v>
      </c>
      <c r="B160" s="381" t="s">
        <v>920</v>
      </c>
      <c r="C160" s="381" t="s">
        <v>1235</v>
      </c>
      <c r="D160" s="381" t="s">
        <v>254</v>
      </c>
      <c r="E160" s="382" t="s">
        <v>253</v>
      </c>
      <c r="F160" s="383">
        <v>6099</v>
      </c>
      <c r="G160" s="384">
        <v>6173</v>
      </c>
      <c r="H160" s="384">
        <v>6256</v>
      </c>
      <c r="I160" s="396">
        <v>5993</v>
      </c>
      <c r="J160" s="427">
        <v>6166</v>
      </c>
      <c r="K160" s="384">
        <v>6244</v>
      </c>
      <c r="L160" s="384">
        <v>6326</v>
      </c>
      <c r="M160" s="384">
        <v>6087</v>
      </c>
      <c r="N160" s="384">
        <v>6193</v>
      </c>
      <c r="O160" s="384">
        <v>6271</v>
      </c>
      <c r="P160" s="384">
        <v>6355</v>
      </c>
      <c r="Q160" s="384">
        <v>6113</v>
      </c>
    </row>
    <row r="161" spans="1:17">
      <c r="A161" s="380" t="s">
        <v>1223</v>
      </c>
      <c r="B161" s="381" t="s">
        <v>920</v>
      </c>
      <c r="C161" s="381" t="s">
        <v>1235</v>
      </c>
      <c r="D161" s="381" t="s">
        <v>344</v>
      </c>
      <c r="E161" s="382" t="s">
        <v>343</v>
      </c>
      <c r="F161" s="383">
        <v>4173</v>
      </c>
      <c r="G161" s="384">
        <v>4171</v>
      </c>
      <c r="H161" s="384">
        <v>3931</v>
      </c>
      <c r="I161" s="396">
        <v>4104</v>
      </c>
      <c r="J161" s="427">
        <v>3810.8992466159998</v>
      </c>
      <c r="K161" s="384">
        <v>3852.7772603610001</v>
      </c>
      <c r="L161" s="384">
        <v>3852.7772603609997</v>
      </c>
      <c r="M161" s="384">
        <v>3769.0212329729998</v>
      </c>
      <c r="N161" s="384">
        <v>3742.4941414019995</v>
      </c>
      <c r="O161" s="384">
        <v>3783.6204506129998</v>
      </c>
      <c r="P161" s="384">
        <v>3783.6204506129998</v>
      </c>
      <c r="Q161" s="384">
        <v>3701.367832121</v>
      </c>
    </row>
    <row r="162" spans="1:17">
      <c r="A162" s="380" t="s">
        <v>1223</v>
      </c>
      <c r="B162" s="381" t="s">
        <v>920</v>
      </c>
      <c r="C162" s="381" t="s">
        <v>1235</v>
      </c>
      <c r="D162" s="381" t="s">
        <v>347</v>
      </c>
      <c r="E162" s="382" t="s">
        <v>346</v>
      </c>
      <c r="F162" s="383">
        <v>6827</v>
      </c>
      <c r="G162" s="384">
        <v>6678</v>
      </c>
      <c r="H162" s="384">
        <v>6589</v>
      </c>
      <c r="I162" s="396">
        <v>6429</v>
      </c>
      <c r="J162" s="427">
        <v>6015.8890820550005</v>
      </c>
      <c r="K162" s="384">
        <v>6081.9977533050005</v>
      </c>
      <c r="L162" s="384">
        <v>6081.9977533050005</v>
      </c>
      <c r="M162" s="384">
        <v>5949.7804109129993</v>
      </c>
      <c r="N162" s="384">
        <v>5906.3026501130007</v>
      </c>
      <c r="O162" s="384">
        <v>5971.2070748469996</v>
      </c>
      <c r="P162" s="384">
        <v>5971.2070748469996</v>
      </c>
      <c r="Q162" s="384">
        <v>5841.3982253689992</v>
      </c>
    </row>
    <row r="163" spans="1:17">
      <c r="A163" s="380" t="s">
        <v>1223</v>
      </c>
      <c r="B163" s="381" t="s">
        <v>920</v>
      </c>
      <c r="C163" s="381" t="s">
        <v>1235</v>
      </c>
      <c r="D163" s="381" t="s">
        <v>350</v>
      </c>
      <c r="E163" s="382" t="s">
        <v>349</v>
      </c>
      <c r="F163" s="383">
        <v>7291</v>
      </c>
      <c r="G163" s="384">
        <v>7386</v>
      </c>
      <c r="H163" s="384">
        <v>7197</v>
      </c>
      <c r="I163" s="396">
        <v>7233</v>
      </c>
      <c r="J163" s="427">
        <v>6657.4883219059993</v>
      </c>
      <c r="K163" s="384">
        <v>6730.6475342049998</v>
      </c>
      <c r="L163" s="384">
        <v>6730.6475342049998</v>
      </c>
      <c r="M163" s="384">
        <v>6584.3291095879995</v>
      </c>
      <c r="N163" s="384">
        <v>6534.4032333679997</v>
      </c>
      <c r="O163" s="384">
        <v>6606.209862271</v>
      </c>
      <c r="P163" s="384">
        <v>6606.209862271</v>
      </c>
      <c r="Q163" s="384">
        <v>6462.5966043839999</v>
      </c>
    </row>
    <row r="164" spans="1:17">
      <c r="A164" s="380" t="s">
        <v>1223</v>
      </c>
      <c r="B164" s="381" t="s">
        <v>920</v>
      </c>
      <c r="C164" s="381" t="s">
        <v>1235</v>
      </c>
      <c r="D164" s="381" t="s">
        <v>425</v>
      </c>
      <c r="E164" s="382" t="s">
        <v>424</v>
      </c>
      <c r="F164" s="383">
        <v>5346</v>
      </c>
      <c r="G164" s="384">
        <v>5270</v>
      </c>
      <c r="H164" s="384">
        <v>5555</v>
      </c>
      <c r="I164" s="396">
        <v>5281</v>
      </c>
      <c r="J164" s="427">
        <v>5242</v>
      </c>
      <c r="K164" s="384">
        <v>5167</v>
      </c>
      <c r="L164" s="384">
        <v>5448</v>
      </c>
      <c r="M164" s="384">
        <v>5117</v>
      </c>
      <c r="N164" s="384">
        <v>5190</v>
      </c>
      <c r="O164" s="384">
        <v>5116</v>
      </c>
      <c r="P164" s="384">
        <v>5394</v>
      </c>
      <c r="Q164" s="384">
        <v>5066</v>
      </c>
    </row>
    <row r="165" spans="1:17">
      <c r="A165" s="380" t="s">
        <v>1223</v>
      </c>
      <c r="B165" s="381" t="s">
        <v>920</v>
      </c>
      <c r="C165" s="381" t="s">
        <v>1235</v>
      </c>
      <c r="D165" s="381" t="s">
        <v>594</v>
      </c>
      <c r="E165" s="382" t="s">
        <v>1237</v>
      </c>
      <c r="F165" s="383">
        <v>10865</v>
      </c>
      <c r="G165" s="384">
        <v>10030</v>
      </c>
      <c r="H165" s="384">
        <v>10435</v>
      </c>
      <c r="I165" s="396">
        <v>10565</v>
      </c>
      <c r="J165" s="427">
        <v>10946.036123469999</v>
      </c>
      <c r="K165" s="384">
        <v>10907.56399296</v>
      </c>
      <c r="L165" s="384">
        <v>11329.56399296</v>
      </c>
      <c r="M165" s="384">
        <v>10908.508253980001</v>
      </c>
      <c r="N165" s="384">
        <v>11052.036123469999</v>
      </c>
      <c r="O165" s="384">
        <v>11013.56399296</v>
      </c>
      <c r="P165" s="384">
        <v>11441.56399296</v>
      </c>
      <c r="Q165" s="384">
        <v>11014.508253980001</v>
      </c>
    </row>
    <row r="166" spans="1:17">
      <c r="A166" s="380" t="s">
        <v>1238</v>
      </c>
      <c r="B166" s="381" t="s">
        <v>903</v>
      </c>
      <c r="C166" s="381" t="s">
        <v>1239</v>
      </c>
      <c r="D166" s="381" t="s">
        <v>50</v>
      </c>
      <c r="E166" s="382" t="s">
        <v>49</v>
      </c>
      <c r="F166" s="383">
        <v>3686</v>
      </c>
      <c r="G166" s="384">
        <v>3458</v>
      </c>
      <c r="H166" s="384">
        <v>3627</v>
      </c>
      <c r="I166" s="396">
        <v>3824</v>
      </c>
      <c r="J166" s="427">
        <v>3492</v>
      </c>
      <c r="K166" s="384">
        <v>3262</v>
      </c>
      <c r="L166" s="384">
        <v>3432</v>
      </c>
      <c r="M166" s="384">
        <v>3631</v>
      </c>
      <c r="N166" s="384">
        <v>3371</v>
      </c>
      <c r="O166" s="384">
        <v>3141</v>
      </c>
      <c r="P166" s="384">
        <v>3309</v>
      </c>
      <c r="Q166" s="384">
        <v>3512</v>
      </c>
    </row>
    <row r="167" spans="1:17">
      <c r="A167" s="380" t="s">
        <v>1238</v>
      </c>
      <c r="B167" s="381" t="s">
        <v>903</v>
      </c>
      <c r="C167" s="381" t="s">
        <v>1239</v>
      </c>
      <c r="D167" s="381" t="s">
        <v>247</v>
      </c>
      <c r="E167" s="382" t="s">
        <v>246</v>
      </c>
      <c r="F167" s="383">
        <v>13112</v>
      </c>
      <c r="G167" s="384">
        <v>13350</v>
      </c>
      <c r="H167" s="384">
        <v>14384</v>
      </c>
      <c r="I167" s="396">
        <v>14077</v>
      </c>
      <c r="J167" s="427">
        <v>12655</v>
      </c>
      <c r="K167" s="384">
        <v>12904</v>
      </c>
      <c r="L167" s="384">
        <v>14008</v>
      </c>
      <c r="M167" s="384">
        <v>14136</v>
      </c>
      <c r="N167" s="384">
        <v>12404</v>
      </c>
      <c r="O167" s="384">
        <v>12655</v>
      </c>
      <c r="P167" s="384">
        <v>13787</v>
      </c>
      <c r="Q167" s="384">
        <v>13917</v>
      </c>
    </row>
    <row r="168" spans="1:17">
      <c r="A168" s="380" t="s">
        <v>1238</v>
      </c>
      <c r="B168" s="381" t="s">
        <v>903</v>
      </c>
      <c r="C168" s="381" t="s">
        <v>1239</v>
      </c>
      <c r="D168" s="381" t="s">
        <v>576</v>
      </c>
      <c r="E168" s="382" t="s">
        <v>575</v>
      </c>
      <c r="F168" s="383">
        <v>4864</v>
      </c>
      <c r="G168" s="384">
        <v>4946</v>
      </c>
      <c r="H168" s="384">
        <v>5688</v>
      </c>
      <c r="I168" s="396">
        <v>5287</v>
      </c>
      <c r="J168" s="427">
        <v>4605</v>
      </c>
      <c r="K168" s="384">
        <v>4689</v>
      </c>
      <c r="L168" s="384">
        <v>5454</v>
      </c>
      <c r="M168" s="384">
        <v>4932</v>
      </c>
      <c r="N168" s="384">
        <v>4336</v>
      </c>
      <c r="O168" s="384">
        <v>4422</v>
      </c>
      <c r="P168" s="384">
        <v>5211</v>
      </c>
      <c r="Q168" s="384">
        <v>4675</v>
      </c>
    </row>
    <row r="169" spans="1:17">
      <c r="A169" s="380" t="s">
        <v>1238</v>
      </c>
      <c r="B169" s="381" t="s">
        <v>903</v>
      </c>
      <c r="C169" s="381" t="s">
        <v>1239</v>
      </c>
      <c r="D169" s="381" t="s">
        <v>626</v>
      </c>
      <c r="E169" s="382" t="s">
        <v>625</v>
      </c>
      <c r="F169" s="383">
        <v>9502</v>
      </c>
      <c r="G169" s="384">
        <v>9627</v>
      </c>
      <c r="H169" s="384">
        <v>9980</v>
      </c>
      <c r="I169" s="396">
        <v>10159</v>
      </c>
      <c r="J169" s="427">
        <v>9250</v>
      </c>
      <c r="K169" s="384">
        <v>9373</v>
      </c>
      <c r="L169" s="384">
        <v>9716</v>
      </c>
      <c r="M169" s="384">
        <v>9766</v>
      </c>
      <c r="N169" s="384">
        <v>9063</v>
      </c>
      <c r="O169" s="384">
        <v>9183</v>
      </c>
      <c r="P169" s="384">
        <v>9518</v>
      </c>
      <c r="Q169" s="384">
        <v>9565</v>
      </c>
    </row>
    <row r="170" spans="1:17">
      <c r="A170" s="380" t="s">
        <v>1238</v>
      </c>
      <c r="B170" s="381" t="s">
        <v>926</v>
      </c>
      <c r="C170" s="381" t="s">
        <v>1240</v>
      </c>
      <c r="D170" s="381" t="s">
        <v>100</v>
      </c>
      <c r="E170" s="382" t="s">
        <v>99</v>
      </c>
      <c r="F170" s="383">
        <v>9490</v>
      </c>
      <c r="G170" s="384">
        <v>9783</v>
      </c>
      <c r="H170" s="384">
        <v>9939</v>
      </c>
      <c r="I170" s="396">
        <v>9672</v>
      </c>
      <c r="J170" s="427">
        <v>9542.0064566820001</v>
      </c>
      <c r="K170" s="384">
        <v>10163.892125971</v>
      </c>
      <c r="L170" s="384">
        <v>10010.170708624</v>
      </c>
      <c r="M170" s="384">
        <v>10009.170708723001</v>
      </c>
      <c r="N170" s="384">
        <v>9882.8684499190003</v>
      </c>
      <c r="O170" s="384">
        <v>10189.333089035001</v>
      </c>
      <c r="P170" s="384">
        <v>9882.8684500489999</v>
      </c>
      <c r="Q170" s="384">
        <v>9575.4038110330002</v>
      </c>
    </row>
    <row r="171" spans="1:17">
      <c r="A171" s="380" t="s">
        <v>1238</v>
      </c>
      <c r="B171" s="381" t="s">
        <v>926</v>
      </c>
      <c r="C171" s="381" t="s">
        <v>1240</v>
      </c>
      <c r="D171" s="381" t="s">
        <v>437</v>
      </c>
      <c r="E171" s="382" t="s">
        <v>436</v>
      </c>
      <c r="F171" s="383">
        <v>4622</v>
      </c>
      <c r="G171" s="384">
        <v>4904</v>
      </c>
      <c r="H171" s="384">
        <v>5012</v>
      </c>
      <c r="I171" s="396">
        <v>5225</v>
      </c>
      <c r="J171" s="427">
        <v>4735</v>
      </c>
      <c r="K171" s="384">
        <v>5046</v>
      </c>
      <c r="L171" s="384">
        <v>4968</v>
      </c>
      <c r="M171" s="384">
        <v>4970</v>
      </c>
      <c r="N171" s="384">
        <v>4637</v>
      </c>
      <c r="O171" s="384">
        <v>4782</v>
      </c>
      <c r="P171" s="384">
        <v>4637</v>
      </c>
      <c r="Q171" s="384">
        <v>4493</v>
      </c>
    </row>
    <row r="172" spans="1:17">
      <c r="A172" s="380" t="s">
        <v>1238</v>
      </c>
      <c r="B172" s="381" t="s">
        <v>926</v>
      </c>
      <c r="C172" s="381" t="s">
        <v>1240</v>
      </c>
      <c r="D172" s="381" t="s">
        <v>512</v>
      </c>
      <c r="E172" s="382" t="s">
        <v>511</v>
      </c>
      <c r="F172" s="383">
        <v>14377</v>
      </c>
      <c r="G172" s="384">
        <v>14755</v>
      </c>
      <c r="H172" s="384">
        <v>14316</v>
      </c>
      <c r="I172" s="396">
        <v>14655</v>
      </c>
      <c r="J172" s="427">
        <v>16641</v>
      </c>
      <c r="K172" s="384">
        <v>16654</v>
      </c>
      <c r="L172" s="384">
        <v>17370</v>
      </c>
      <c r="M172" s="384">
        <v>16807</v>
      </c>
      <c r="N172" s="384">
        <v>16601</v>
      </c>
      <c r="O172" s="384">
        <v>16615</v>
      </c>
      <c r="P172" s="384">
        <v>17327</v>
      </c>
      <c r="Q172" s="384">
        <v>16782</v>
      </c>
    </row>
    <row r="173" spans="1:17">
      <c r="A173" s="380" t="s">
        <v>1238</v>
      </c>
      <c r="B173" s="381" t="s">
        <v>926</v>
      </c>
      <c r="C173" s="381" t="s">
        <v>1240</v>
      </c>
      <c r="D173" s="381" t="s">
        <v>524</v>
      </c>
      <c r="E173" s="382" t="s">
        <v>523</v>
      </c>
      <c r="F173" s="383">
        <v>4734</v>
      </c>
      <c r="G173" s="384">
        <v>4679</v>
      </c>
      <c r="H173" s="384">
        <v>4993</v>
      </c>
      <c r="I173" s="396">
        <v>5219</v>
      </c>
      <c r="J173" s="427">
        <v>4888.6314724699996</v>
      </c>
      <c r="K173" s="384">
        <v>5194.08271659</v>
      </c>
      <c r="L173" s="384">
        <v>5124.2199055600004</v>
      </c>
      <c r="M173" s="384">
        <v>5121.2199055599995</v>
      </c>
      <c r="N173" s="384">
        <v>5054.5037690120007</v>
      </c>
      <c r="O173" s="384">
        <v>5204.1132617399999</v>
      </c>
      <c r="P173" s="384">
        <v>5059.5037690199997</v>
      </c>
      <c r="Q173" s="384">
        <v>4905.8942762919996</v>
      </c>
    </row>
    <row r="174" spans="1:17">
      <c r="A174" s="380" t="s">
        <v>1238</v>
      </c>
      <c r="B174" s="381" t="s">
        <v>933</v>
      </c>
      <c r="C174" s="381" t="s">
        <v>1241</v>
      </c>
      <c r="D174" s="381" t="s">
        <v>329</v>
      </c>
      <c r="E174" s="382" t="s">
        <v>328</v>
      </c>
      <c r="F174" s="383">
        <v>13088</v>
      </c>
      <c r="G174" s="384">
        <v>12821</v>
      </c>
      <c r="H174" s="384">
        <v>13810</v>
      </c>
      <c r="I174" s="396">
        <v>13647</v>
      </c>
      <c r="J174" s="427">
        <v>11490</v>
      </c>
      <c r="K174" s="384">
        <v>11434</v>
      </c>
      <c r="L174" s="384">
        <v>11976</v>
      </c>
      <c r="M174" s="384">
        <v>11871</v>
      </c>
      <c r="N174" s="384">
        <v>10189</v>
      </c>
      <c r="O174" s="384">
        <v>10149</v>
      </c>
      <c r="P174" s="384">
        <v>10646</v>
      </c>
      <c r="Q174" s="384">
        <v>10519</v>
      </c>
    </row>
    <row r="175" spans="1:17">
      <c r="A175" s="380" t="s">
        <v>1238</v>
      </c>
      <c r="B175" s="381" t="s">
        <v>933</v>
      </c>
      <c r="C175" s="381" t="s">
        <v>1241</v>
      </c>
      <c r="D175" s="381" t="s">
        <v>449</v>
      </c>
      <c r="E175" s="382" t="s">
        <v>448</v>
      </c>
      <c r="F175" s="383">
        <v>24376</v>
      </c>
      <c r="G175" s="384">
        <v>25663</v>
      </c>
      <c r="H175" s="384">
        <v>26007</v>
      </c>
      <c r="I175" s="396">
        <v>24724</v>
      </c>
      <c r="J175" s="427">
        <v>21324</v>
      </c>
      <c r="K175" s="384">
        <v>21891</v>
      </c>
      <c r="L175" s="384">
        <v>21985</v>
      </c>
      <c r="M175" s="384">
        <v>21758</v>
      </c>
      <c r="N175" s="384">
        <v>21541</v>
      </c>
      <c r="O175" s="384">
        <v>22114</v>
      </c>
      <c r="P175" s="384">
        <v>22211</v>
      </c>
      <c r="Q175" s="384">
        <v>21824</v>
      </c>
    </row>
    <row r="176" spans="1:17">
      <c r="A176" s="380" t="s">
        <v>1238</v>
      </c>
      <c r="B176" s="381" t="s">
        <v>933</v>
      </c>
      <c r="C176" s="381" t="s">
        <v>1241</v>
      </c>
      <c r="D176" s="381" t="s">
        <v>518</v>
      </c>
      <c r="E176" s="382" t="s">
        <v>517</v>
      </c>
      <c r="F176" s="383">
        <v>4829</v>
      </c>
      <c r="G176" s="384">
        <v>5325</v>
      </c>
      <c r="H176" s="384">
        <v>4977</v>
      </c>
      <c r="I176" s="396">
        <v>5846</v>
      </c>
      <c r="J176" s="427">
        <v>8406</v>
      </c>
      <c r="K176" s="384">
        <v>8567</v>
      </c>
      <c r="L176" s="384">
        <v>8932</v>
      </c>
      <c r="M176" s="384">
        <v>8671</v>
      </c>
      <c r="N176" s="384">
        <v>8490</v>
      </c>
      <c r="O176" s="384">
        <v>8652</v>
      </c>
      <c r="P176" s="384">
        <v>9021</v>
      </c>
      <c r="Q176" s="384">
        <v>8758</v>
      </c>
    </row>
    <row r="177" spans="1:17">
      <c r="A177" s="380" t="s">
        <v>1238</v>
      </c>
      <c r="B177" s="381" t="s">
        <v>950</v>
      </c>
      <c r="C177" s="381" t="s">
        <v>1242</v>
      </c>
      <c r="D177" s="381" t="s">
        <v>12</v>
      </c>
      <c r="E177" s="382" t="s">
        <v>11</v>
      </c>
      <c r="F177" s="383">
        <v>2605</v>
      </c>
      <c r="G177" s="384">
        <v>2636</v>
      </c>
      <c r="H177" s="384">
        <v>2559</v>
      </c>
      <c r="I177" s="396">
        <v>2758</v>
      </c>
      <c r="J177" s="427">
        <v>2685.1718542448002</v>
      </c>
      <c r="K177" s="384">
        <v>2714.6792372668001</v>
      </c>
      <c r="L177" s="384">
        <v>2714.6792372668006</v>
      </c>
      <c r="M177" s="384">
        <v>2655.6644712428006</v>
      </c>
      <c r="N177" s="384">
        <v>2643.1640510979</v>
      </c>
      <c r="O177" s="384">
        <v>2672.2098099021</v>
      </c>
      <c r="P177" s="384">
        <v>2672.2098099021</v>
      </c>
      <c r="Q177" s="384">
        <v>2643.1640510969</v>
      </c>
    </row>
    <row r="178" spans="1:17">
      <c r="A178" s="380" t="s">
        <v>1238</v>
      </c>
      <c r="B178" s="381" t="s">
        <v>950</v>
      </c>
      <c r="C178" s="381" t="s">
        <v>1242</v>
      </c>
      <c r="D178" s="381" t="s">
        <v>126</v>
      </c>
      <c r="E178" s="382" t="s">
        <v>125</v>
      </c>
      <c r="F178" s="383">
        <v>5469</v>
      </c>
      <c r="G178" s="384">
        <v>5331</v>
      </c>
      <c r="H178" s="384">
        <v>5428</v>
      </c>
      <c r="I178" s="396">
        <v>5526</v>
      </c>
      <c r="J178" s="427">
        <v>5621.2836131967006</v>
      </c>
      <c r="K178" s="384">
        <v>5683.0559605104008</v>
      </c>
      <c r="L178" s="384">
        <v>5683.0559605104008</v>
      </c>
      <c r="M178" s="384">
        <v>5559.5112657029003</v>
      </c>
      <c r="N178" s="384">
        <v>5492.1012201745998</v>
      </c>
      <c r="O178" s="384">
        <v>5552.4539807853998</v>
      </c>
      <c r="P178" s="384">
        <v>5552.4539807853998</v>
      </c>
      <c r="Q178" s="384">
        <v>5492.1012200646001</v>
      </c>
    </row>
    <row r="179" spans="1:17">
      <c r="A179" s="380" t="s">
        <v>1238</v>
      </c>
      <c r="B179" s="381" t="s">
        <v>950</v>
      </c>
      <c r="C179" s="381" t="s">
        <v>1242</v>
      </c>
      <c r="D179" s="381" t="s">
        <v>178</v>
      </c>
      <c r="E179" s="382" t="s">
        <v>177</v>
      </c>
      <c r="F179" s="383">
        <v>6520</v>
      </c>
      <c r="G179" s="384">
        <v>6514</v>
      </c>
      <c r="H179" s="384">
        <v>6803</v>
      </c>
      <c r="I179" s="396">
        <v>6626</v>
      </c>
      <c r="J179" s="427">
        <v>6581</v>
      </c>
      <c r="K179" s="384">
        <v>6628</v>
      </c>
      <c r="L179" s="384">
        <v>6628</v>
      </c>
      <c r="M179" s="384">
        <v>6475</v>
      </c>
      <c r="N179" s="384">
        <v>6297</v>
      </c>
      <c r="O179" s="384">
        <v>6366</v>
      </c>
      <c r="P179" s="384">
        <v>6366</v>
      </c>
      <c r="Q179" s="384">
        <v>6296</v>
      </c>
    </row>
    <row r="180" spans="1:17">
      <c r="A180" s="380" t="s">
        <v>1238</v>
      </c>
      <c r="B180" s="381" t="s">
        <v>950</v>
      </c>
      <c r="C180" s="381" t="s">
        <v>1242</v>
      </c>
      <c r="D180" s="381" t="s">
        <v>374</v>
      </c>
      <c r="E180" s="382" t="s">
        <v>373</v>
      </c>
      <c r="F180" s="383">
        <v>6202</v>
      </c>
      <c r="G180" s="384">
        <v>6132</v>
      </c>
      <c r="H180" s="384">
        <v>6644</v>
      </c>
      <c r="I180" s="396">
        <v>6562</v>
      </c>
      <c r="J180" s="427">
        <v>5854</v>
      </c>
      <c r="K180" s="384">
        <v>5918</v>
      </c>
      <c r="L180" s="384">
        <v>5918</v>
      </c>
      <c r="M180" s="384">
        <v>5796</v>
      </c>
      <c r="N180" s="384">
        <v>5421</v>
      </c>
      <c r="O180" s="384">
        <v>5390</v>
      </c>
      <c r="P180" s="384">
        <v>5492</v>
      </c>
      <c r="Q180" s="384">
        <v>5477</v>
      </c>
    </row>
    <row r="181" spans="1:17">
      <c r="A181" s="380" t="s">
        <v>1238</v>
      </c>
      <c r="B181" s="381" t="s">
        <v>950</v>
      </c>
      <c r="C181" s="381" t="s">
        <v>1242</v>
      </c>
      <c r="D181" s="381" t="s">
        <v>526</v>
      </c>
      <c r="E181" s="382" t="s">
        <v>525</v>
      </c>
      <c r="F181" s="383">
        <v>5042</v>
      </c>
      <c r="G181" s="384">
        <v>5005</v>
      </c>
      <c r="H181" s="384">
        <v>4979</v>
      </c>
      <c r="I181" s="396">
        <v>4997</v>
      </c>
      <c r="J181" s="427">
        <v>5554</v>
      </c>
      <c r="K181" s="384">
        <v>5615</v>
      </c>
      <c r="L181" s="384">
        <v>5615</v>
      </c>
      <c r="M181" s="384">
        <v>5493</v>
      </c>
      <c r="N181" s="384">
        <v>5493</v>
      </c>
      <c r="O181" s="384">
        <v>5553</v>
      </c>
      <c r="P181" s="384">
        <v>5553</v>
      </c>
      <c r="Q181" s="384">
        <v>5431</v>
      </c>
    </row>
    <row r="182" spans="1:17">
      <c r="A182" s="380" t="s">
        <v>1238</v>
      </c>
      <c r="B182" s="381" t="s">
        <v>950</v>
      </c>
      <c r="C182" s="381" t="s">
        <v>1242</v>
      </c>
      <c r="D182" s="381" t="s">
        <v>574</v>
      </c>
      <c r="E182" s="382" t="s">
        <v>573</v>
      </c>
      <c r="F182" s="383">
        <v>2305</v>
      </c>
      <c r="G182" s="384">
        <v>2307</v>
      </c>
      <c r="H182" s="384">
        <v>2331</v>
      </c>
      <c r="I182" s="396">
        <v>2236</v>
      </c>
      <c r="J182" s="427">
        <v>2194</v>
      </c>
      <c r="K182" s="384">
        <v>2100</v>
      </c>
      <c r="L182" s="384">
        <v>2055</v>
      </c>
      <c r="M182" s="384">
        <v>2006</v>
      </c>
      <c r="N182" s="384">
        <v>2204</v>
      </c>
      <c r="O182" s="384">
        <v>2115</v>
      </c>
      <c r="P182" s="384">
        <v>2070</v>
      </c>
      <c r="Q182" s="384">
        <v>2025</v>
      </c>
    </row>
    <row r="183" spans="1:17">
      <c r="A183" s="380" t="s">
        <v>1238</v>
      </c>
      <c r="B183" s="381" t="s">
        <v>950</v>
      </c>
      <c r="C183" s="381" t="s">
        <v>1242</v>
      </c>
      <c r="D183" s="381" t="s">
        <v>582</v>
      </c>
      <c r="E183" s="382" t="s">
        <v>581</v>
      </c>
      <c r="F183" s="383">
        <v>4098</v>
      </c>
      <c r="G183" s="384">
        <v>4056</v>
      </c>
      <c r="H183" s="384">
        <v>3837</v>
      </c>
      <c r="I183" s="396">
        <v>4037</v>
      </c>
      <c r="J183" s="427">
        <v>4204.0775557070001</v>
      </c>
      <c r="K183" s="384">
        <v>4251.2480707510003</v>
      </c>
      <c r="L183" s="384">
        <v>4200.2480707510003</v>
      </c>
      <c r="M183" s="384">
        <v>4035.8636882550004</v>
      </c>
      <c r="N183" s="384">
        <v>4125.0775557070001</v>
      </c>
      <c r="O183" s="384">
        <v>3994.2480707510003</v>
      </c>
      <c r="P183" s="384">
        <v>3880.2480707509999</v>
      </c>
      <c r="Q183" s="384">
        <v>3791.8636882550004</v>
      </c>
    </row>
    <row r="184" spans="1:17">
      <c r="A184" s="380" t="s">
        <v>1238</v>
      </c>
      <c r="B184" s="381" t="s">
        <v>950</v>
      </c>
      <c r="C184" s="381" t="s">
        <v>1242</v>
      </c>
      <c r="D184" s="381" t="s">
        <v>612</v>
      </c>
      <c r="E184" s="382" t="s">
        <v>611</v>
      </c>
      <c r="F184" s="383">
        <v>9758</v>
      </c>
      <c r="G184" s="384">
        <v>9718</v>
      </c>
      <c r="H184" s="384">
        <v>9860</v>
      </c>
      <c r="I184" s="396">
        <v>9942</v>
      </c>
      <c r="J184" s="427">
        <v>9073</v>
      </c>
      <c r="K184" s="384">
        <v>9173</v>
      </c>
      <c r="L184" s="384">
        <v>9173</v>
      </c>
      <c r="M184" s="384">
        <v>8974</v>
      </c>
      <c r="N184" s="384">
        <v>8691</v>
      </c>
      <c r="O184" s="384">
        <v>8787</v>
      </c>
      <c r="P184" s="384">
        <v>8787</v>
      </c>
      <c r="Q184" s="384">
        <v>8692</v>
      </c>
    </row>
    <row r="185" spans="1:17">
      <c r="A185" s="380" t="s">
        <v>1238</v>
      </c>
      <c r="B185" s="381" t="s">
        <v>924</v>
      </c>
      <c r="C185" s="381" t="s">
        <v>1243</v>
      </c>
      <c r="D185" s="381" t="s">
        <v>96</v>
      </c>
      <c r="E185" s="382" t="s">
        <v>1244</v>
      </c>
      <c r="F185" s="383">
        <v>6309</v>
      </c>
      <c r="G185" s="384">
        <v>6555</v>
      </c>
      <c r="H185" s="384">
        <v>6594</v>
      </c>
      <c r="I185" s="396">
        <v>6207</v>
      </c>
      <c r="J185" s="427">
        <v>6091</v>
      </c>
      <c r="K185" s="384">
        <v>6205</v>
      </c>
      <c r="L185" s="384">
        <v>6206</v>
      </c>
      <c r="M185" s="384">
        <v>5822</v>
      </c>
      <c r="N185" s="384">
        <v>5895</v>
      </c>
      <c r="O185" s="384">
        <v>6003</v>
      </c>
      <c r="P185" s="384">
        <v>6004</v>
      </c>
      <c r="Q185" s="384">
        <v>5699</v>
      </c>
    </row>
    <row r="186" spans="1:17">
      <c r="A186" s="380" t="s">
        <v>1238</v>
      </c>
      <c r="B186" s="381" t="s">
        <v>924</v>
      </c>
      <c r="C186" s="381" t="s">
        <v>1243</v>
      </c>
      <c r="D186" s="381" t="s">
        <v>152</v>
      </c>
      <c r="E186" s="382" t="s">
        <v>151</v>
      </c>
      <c r="F186" s="383">
        <v>11785</v>
      </c>
      <c r="G186" s="384">
        <v>11852</v>
      </c>
      <c r="H186" s="384">
        <v>12630</v>
      </c>
      <c r="I186" s="396">
        <v>12553</v>
      </c>
      <c r="J186" s="427">
        <v>11198</v>
      </c>
      <c r="K186" s="384">
        <v>11201</v>
      </c>
      <c r="L186" s="384">
        <v>11595</v>
      </c>
      <c r="M186" s="384">
        <v>11396</v>
      </c>
      <c r="N186" s="384">
        <v>10966</v>
      </c>
      <c r="O186" s="384">
        <v>10968</v>
      </c>
      <c r="P186" s="384">
        <v>11334</v>
      </c>
      <c r="Q186" s="384">
        <v>11286</v>
      </c>
    </row>
    <row r="187" spans="1:17">
      <c r="A187" s="380" t="s">
        <v>1238</v>
      </c>
      <c r="B187" s="381" t="s">
        <v>924</v>
      </c>
      <c r="C187" s="381" t="s">
        <v>1243</v>
      </c>
      <c r="D187" s="381" t="s">
        <v>164</v>
      </c>
      <c r="E187" s="382" t="s">
        <v>163</v>
      </c>
      <c r="F187" s="383">
        <v>3032</v>
      </c>
      <c r="G187" s="384">
        <v>3104</v>
      </c>
      <c r="H187" s="384">
        <v>3073</v>
      </c>
      <c r="I187" s="396">
        <v>3005</v>
      </c>
      <c r="J187" s="427">
        <v>2884</v>
      </c>
      <c r="K187" s="384">
        <v>2863</v>
      </c>
      <c r="L187" s="384">
        <v>2928</v>
      </c>
      <c r="M187" s="384">
        <v>2871</v>
      </c>
      <c r="N187" s="384">
        <v>2713</v>
      </c>
      <c r="O187" s="384">
        <v>2692</v>
      </c>
      <c r="P187" s="384">
        <v>2753</v>
      </c>
      <c r="Q187" s="384">
        <v>2734</v>
      </c>
    </row>
    <row r="188" spans="1:17">
      <c r="A188" s="380" t="s">
        <v>1238</v>
      </c>
      <c r="B188" s="381" t="s">
        <v>924</v>
      </c>
      <c r="C188" s="381" t="s">
        <v>1243</v>
      </c>
      <c r="D188" s="381" t="s">
        <v>217</v>
      </c>
      <c r="E188" s="382" t="s">
        <v>216</v>
      </c>
      <c r="F188" s="383">
        <v>4114</v>
      </c>
      <c r="G188" s="384">
        <v>4120</v>
      </c>
      <c r="H188" s="384">
        <v>4159</v>
      </c>
      <c r="I188" s="396">
        <v>4161</v>
      </c>
      <c r="J188" s="427">
        <v>3728</v>
      </c>
      <c r="K188" s="384">
        <v>3728</v>
      </c>
      <c r="L188" s="384">
        <v>3731</v>
      </c>
      <c r="M188" s="384">
        <v>3751</v>
      </c>
      <c r="N188" s="384">
        <v>3708</v>
      </c>
      <c r="O188" s="384">
        <v>3710</v>
      </c>
      <c r="P188" s="384">
        <v>3711</v>
      </c>
      <c r="Q188" s="384">
        <v>3730</v>
      </c>
    </row>
    <row r="189" spans="1:17">
      <c r="A189" s="380" t="s">
        <v>1238</v>
      </c>
      <c r="B189" s="381" t="s">
        <v>924</v>
      </c>
      <c r="C189" s="381" t="s">
        <v>1243</v>
      </c>
      <c r="D189" s="381" t="s">
        <v>221</v>
      </c>
      <c r="E189" s="382" t="s">
        <v>220</v>
      </c>
      <c r="F189" s="383">
        <v>4640</v>
      </c>
      <c r="G189" s="384">
        <v>4658</v>
      </c>
      <c r="H189" s="384">
        <v>4928</v>
      </c>
      <c r="I189" s="396">
        <v>4768</v>
      </c>
      <c r="J189" s="427">
        <v>4152</v>
      </c>
      <c r="K189" s="384">
        <v>4195</v>
      </c>
      <c r="L189" s="384">
        <v>4194</v>
      </c>
      <c r="M189" s="384">
        <v>4111</v>
      </c>
      <c r="N189" s="384">
        <v>4198</v>
      </c>
      <c r="O189" s="384">
        <v>4242</v>
      </c>
      <c r="P189" s="384">
        <v>4241</v>
      </c>
      <c r="Q189" s="384">
        <v>4158</v>
      </c>
    </row>
    <row r="190" spans="1:17">
      <c r="A190" s="380" t="s">
        <v>1238</v>
      </c>
      <c r="B190" s="381" t="s">
        <v>924</v>
      </c>
      <c r="C190" s="381" t="s">
        <v>1243</v>
      </c>
      <c r="D190" s="381" t="s">
        <v>263</v>
      </c>
      <c r="E190" s="382" t="s">
        <v>262</v>
      </c>
      <c r="F190" s="383">
        <v>4298</v>
      </c>
      <c r="G190" s="384">
        <v>4254</v>
      </c>
      <c r="H190" s="384">
        <v>4830</v>
      </c>
      <c r="I190" s="396">
        <v>4478</v>
      </c>
      <c r="J190" s="427">
        <v>4371</v>
      </c>
      <c r="K190" s="384">
        <v>3463</v>
      </c>
      <c r="L190" s="384">
        <v>3839</v>
      </c>
      <c r="M190" s="384">
        <v>3848</v>
      </c>
      <c r="N190" s="384">
        <v>3475</v>
      </c>
      <c r="O190" s="384">
        <v>2548</v>
      </c>
      <c r="P190" s="384">
        <v>2931</v>
      </c>
      <c r="Q190" s="384">
        <v>2942</v>
      </c>
    </row>
    <row r="191" spans="1:17">
      <c r="A191" s="380" t="s">
        <v>1238</v>
      </c>
      <c r="B191" s="381" t="s">
        <v>924</v>
      </c>
      <c r="C191" s="381" t="s">
        <v>1243</v>
      </c>
      <c r="D191" s="381" t="s">
        <v>290</v>
      </c>
      <c r="E191" s="382" t="s">
        <v>1245</v>
      </c>
      <c r="F191" s="383">
        <v>4601</v>
      </c>
      <c r="G191" s="384">
        <v>4717</v>
      </c>
      <c r="H191" s="384">
        <v>5287</v>
      </c>
      <c r="I191" s="396">
        <v>5250</v>
      </c>
      <c r="J191" s="427">
        <v>4101</v>
      </c>
      <c r="K191" s="384">
        <v>4146</v>
      </c>
      <c r="L191" s="384">
        <v>4146</v>
      </c>
      <c r="M191" s="384">
        <v>4059</v>
      </c>
      <c r="N191" s="384">
        <v>4143</v>
      </c>
      <c r="O191" s="384">
        <v>4188</v>
      </c>
      <c r="P191" s="384">
        <v>4188</v>
      </c>
      <c r="Q191" s="384">
        <v>4100</v>
      </c>
    </row>
    <row r="192" spans="1:17">
      <c r="A192" s="380" t="s">
        <v>1238</v>
      </c>
      <c r="B192" s="381" t="s">
        <v>924</v>
      </c>
      <c r="C192" s="381" t="s">
        <v>1243</v>
      </c>
      <c r="D192" s="381" t="s">
        <v>305</v>
      </c>
      <c r="E192" s="382" t="s">
        <v>304</v>
      </c>
      <c r="F192" s="383">
        <v>3221</v>
      </c>
      <c r="G192" s="384">
        <v>3395</v>
      </c>
      <c r="H192" s="384">
        <v>3336</v>
      </c>
      <c r="I192" s="396">
        <v>3361</v>
      </c>
      <c r="J192" s="427">
        <v>3634.9684523828</v>
      </c>
      <c r="K192" s="384">
        <v>3651.9351444615604</v>
      </c>
      <c r="L192" s="384">
        <v>3651.9351444615604</v>
      </c>
      <c r="M192" s="384">
        <v>3619.00177194761</v>
      </c>
      <c r="N192" s="384">
        <v>3600.6089953137898</v>
      </c>
      <c r="O192" s="384">
        <v>3616.3409679145298</v>
      </c>
      <c r="P192" s="384">
        <v>3616.3409679145298</v>
      </c>
      <c r="Q192" s="384">
        <v>3591.8770340151405</v>
      </c>
    </row>
    <row r="193" spans="1:17">
      <c r="A193" s="380" t="s">
        <v>1238</v>
      </c>
      <c r="B193" s="381" t="s">
        <v>924</v>
      </c>
      <c r="C193" s="381" t="s">
        <v>1243</v>
      </c>
      <c r="D193" s="381" t="s">
        <v>311</v>
      </c>
      <c r="E193" s="382" t="s">
        <v>310</v>
      </c>
      <c r="F193" s="383">
        <v>4331</v>
      </c>
      <c r="G193" s="384">
        <v>4797</v>
      </c>
      <c r="H193" s="384">
        <v>4878</v>
      </c>
      <c r="I193" s="396">
        <v>4957</v>
      </c>
      <c r="J193" s="427">
        <v>4160</v>
      </c>
      <c r="K193" s="384">
        <v>4200</v>
      </c>
      <c r="L193" s="384">
        <v>4243</v>
      </c>
      <c r="M193" s="384">
        <v>4030</v>
      </c>
      <c r="N193" s="384">
        <v>3905</v>
      </c>
      <c r="O193" s="384">
        <v>3934</v>
      </c>
      <c r="P193" s="384">
        <v>3973</v>
      </c>
      <c r="Q193" s="384">
        <v>3839</v>
      </c>
    </row>
    <row r="194" spans="1:17">
      <c r="A194" s="380" t="s">
        <v>1238</v>
      </c>
      <c r="B194" s="381" t="s">
        <v>924</v>
      </c>
      <c r="C194" s="381" t="s">
        <v>1243</v>
      </c>
      <c r="D194" s="381" t="s">
        <v>446</v>
      </c>
      <c r="E194" s="382" t="s">
        <v>445</v>
      </c>
      <c r="F194" s="383">
        <v>6801</v>
      </c>
      <c r="G194" s="384">
        <v>6655</v>
      </c>
      <c r="H194" s="384">
        <v>6750</v>
      </c>
      <c r="I194" s="396">
        <v>6618</v>
      </c>
      <c r="J194" s="427">
        <v>7628.5250137969997</v>
      </c>
      <c r="K194" s="384">
        <v>7712.3549589819995</v>
      </c>
      <c r="L194" s="384">
        <v>7712.3549589820004</v>
      </c>
      <c r="M194" s="384">
        <v>7544.6950685220008</v>
      </c>
      <c r="N194" s="384">
        <v>7754.1503695579995</v>
      </c>
      <c r="O194" s="384">
        <v>7839.3608132200006</v>
      </c>
      <c r="P194" s="384">
        <v>7839.3608132200006</v>
      </c>
      <c r="Q194" s="384">
        <v>7668.939925996001</v>
      </c>
    </row>
    <row r="195" spans="1:17">
      <c r="A195" s="380" t="s">
        <v>1238</v>
      </c>
      <c r="B195" s="381" t="s">
        <v>924</v>
      </c>
      <c r="C195" s="381" t="s">
        <v>1243</v>
      </c>
      <c r="D195" s="381" t="s">
        <v>568</v>
      </c>
      <c r="E195" s="382" t="s">
        <v>567</v>
      </c>
      <c r="F195" s="383">
        <v>5417</v>
      </c>
      <c r="G195" s="384">
        <v>5467</v>
      </c>
      <c r="H195" s="384">
        <v>6019</v>
      </c>
      <c r="I195" s="396">
        <v>6261</v>
      </c>
      <c r="J195" s="427">
        <v>5790</v>
      </c>
      <c r="K195" s="384">
        <v>5579</v>
      </c>
      <c r="L195" s="384">
        <v>5823</v>
      </c>
      <c r="M195" s="384">
        <v>5649</v>
      </c>
      <c r="N195" s="384">
        <v>5173</v>
      </c>
      <c r="O195" s="384">
        <v>5428</v>
      </c>
      <c r="P195" s="384">
        <v>5680</v>
      </c>
      <c r="Q195" s="384">
        <v>5582</v>
      </c>
    </row>
    <row r="196" spans="1:17">
      <c r="A196" s="380" t="s">
        <v>1238</v>
      </c>
      <c r="B196" s="381" t="s">
        <v>924</v>
      </c>
      <c r="C196" s="381" t="s">
        <v>1243</v>
      </c>
      <c r="D196" s="381" t="s">
        <v>570</v>
      </c>
      <c r="E196" s="382" t="s">
        <v>569</v>
      </c>
      <c r="F196" s="383">
        <v>1856</v>
      </c>
      <c r="G196" s="384">
        <v>1877</v>
      </c>
      <c r="H196" s="384">
        <v>2016</v>
      </c>
      <c r="I196" s="396">
        <v>1931</v>
      </c>
      <c r="J196" s="427">
        <v>1882</v>
      </c>
      <c r="K196" s="384">
        <v>1867</v>
      </c>
      <c r="L196" s="384">
        <v>1948</v>
      </c>
      <c r="M196" s="384">
        <v>1850</v>
      </c>
      <c r="N196" s="384">
        <v>1776</v>
      </c>
      <c r="O196" s="384">
        <v>1763</v>
      </c>
      <c r="P196" s="384">
        <v>1844</v>
      </c>
      <c r="Q196" s="384">
        <v>1772</v>
      </c>
    </row>
    <row r="197" spans="1:17">
      <c r="A197" s="380" t="s">
        <v>1238</v>
      </c>
      <c r="B197" s="381" t="s">
        <v>918</v>
      </c>
      <c r="C197" s="381" t="s">
        <v>1246</v>
      </c>
      <c r="D197" s="381" t="s">
        <v>18</v>
      </c>
      <c r="E197" s="382" t="s">
        <v>17</v>
      </c>
      <c r="F197" s="383">
        <v>3778</v>
      </c>
      <c r="G197" s="384">
        <v>3610</v>
      </c>
      <c r="H197" s="384">
        <v>3936</v>
      </c>
      <c r="I197" s="396">
        <v>4038</v>
      </c>
      <c r="J197" s="427">
        <v>4428</v>
      </c>
      <c r="K197" s="384">
        <v>4468</v>
      </c>
      <c r="L197" s="384">
        <v>4479</v>
      </c>
      <c r="M197" s="384">
        <v>4382</v>
      </c>
      <c r="N197" s="384">
        <v>4428</v>
      </c>
      <c r="O197" s="384">
        <v>4468</v>
      </c>
      <c r="P197" s="384">
        <v>4479</v>
      </c>
      <c r="Q197" s="384">
        <v>4382</v>
      </c>
    </row>
    <row r="198" spans="1:17">
      <c r="A198" s="380" t="s">
        <v>1238</v>
      </c>
      <c r="B198" s="381" t="s">
        <v>918</v>
      </c>
      <c r="C198" s="381" t="s">
        <v>1246</v>
      </c>
      <c r="D198" s="381" t="s">
        <v>81</v>
      </c>
      <c r="E198" s="382" t="s">
        <v>80</v>
      </c>
      <c r="F198" s="383">
        <v>2401</v>
      </c>
      <c r="G198" s="384">
        <v>2468</v>
      </c>
      <c r="H198" s="384">
        <v>2559</v>
      </c>
      <c r="I198" s="396">
        <v>2477</v>
      </c>
      <c r="J198" s="427">
        <v>2205</v>
      </c>
      <c r="K198" s="384">
        <v>2276</v>
      </c>
      <c r="L198" s="384">
        <v>2388</v>
      </c>
      <c r="M198" s="384">
        <v>2314</v>
      </c>
      <c r="N198" s="384">
        <v>2240</v>
      </c>
      <c r="O198" s="384">
        <v>2316</v>
      </c>
      <c r="P198" s="384">
        <v>2425</v>
      </c>
      <c r="Q198" s="384">
        <v>2351</v>
      </c>
    </row>
    <row r="199" spans="1:17">
      <c r="A199" s="380" t="s">
        <v>1238</v>
      </c>
      <c r="B199" s="381" t="s">
        <v>918</v>
      </c>
      <c r="C199" s="381" t="s">
        <v>1246</v>
      </c>
      <c r="D199" s="381" t="s">
        <v>141</v>
      </c>
      <c r="E199" s="382" t="s">
        <v>140</v>
      </c>
      <c r="F199" s="383">
        <v>6156</v>
      </c>
      <c r="G199" s="384">
        <v>6064</v>
      </c>
      <c r="H199" s="384">
        <v>6445</v>
      </c>
      <c r="I199" s="396">
        <v>6506</v>
      </c>
      <c r="J199" s="427">
        <v>7087.7287671233007</v>
      </c>
      <c r="K199" s="384">
        <v>7165.8136986300997</v>
      </c>
      <c r="L199" s="384">
        <v>7165.8136986300997</v>
      </c>
      <c r="M199" s="384">
        <v>7009.6438356163999</v>
      </c>
      <c r="N199" s="384">
        <v>7087.8756136987004</v>
      </c>
      <c r="O199" s="384">
        <v>7165.9621589041999</v>
      </c>
      <c r="P199" s="384">
        <v>7165.9621589041999</v>
      </c>
      <c r="Q199" s="384">
        <v>7009.7890684931999</v>
      </c>
    </row>
    <row r="200" spans="1:17">
      <c r="A200" s="380" t="s">
        <v>1238</v>
      </c>
      <c r="B200" s="381" t="s">
        <v>918</v>
      </c>
      <c r="C200" s="381" t="s">
        <v>1246</v>
      </c>
      <c r="D200" s="381" t="s">
        <v>392</v>
      </c>
      <c r="E200" s="382" t="s">
        <v>391</v>
      </c>
      <c r="F200" s="383">
        <v>1857</v>
      </c>
      <c r="G200" s="384">
        <v>1854</v>
      </c>
      <c r="H200" s="384">
        <v>1912</v>
      </c>
      <c r="I200" s="396">
        <v>1789</v>
      </c>
      <c r="J200" s="427">
        <v>1892</v>
      </c>
      <c r="K200" s="384">
        <v>1851</v>
      </c>
      <c r="L200" s="384">
        <v>1936</v>
      </c>
      <c r="M200" s="384">
        <v>1823</v>
      </c>
      <c r="N200" s="384">
        <v>1857</v>
      </c>
      <c r="O200" s="384">
        <v>1842</v>
      </c>
      <c r="P200" s="384">
        <v>1924</v>
      </c>
      <c r="Q200" s="384">
        <v>1834</v>
      </c>
    </row>
    <row r="201" spans="1:17">
      <c r="A201" s="380" t="s">
        <v>1238</v>
      </c>
      <c r="B201" s="381" t="s">
        <v>918</v>
      </c>
      <c r="C201" s="381" t="s">
        <v>1246</v>
      </c>
      <c r="D201" s="381" t="s">
        <v>404</v>
      </c>
      <c r="E201" s="382" t="s">
        <v>403</v>
      </c>
      <c r="F201" s="383">
        <v>1760</v>
      </c>
      <c r="G201" s="384">
        <v>1773</v>
      </c>
      <c r="H201" s="384">
        <v>1816</v>
      </c>
      <c r="I201" s="396">
        <v>1734</v>
      </c>
      <c r="J201" s="427">
        <v>1795</v>
      </c>
      <c r="K201" s="384">
        <v>1739</v>
      </c>
      <c r="L201" s="384">
        <v>1821</v>
      </c>
      <c r="M201" s="384">
        <v>1698</v>
      </c>
      <c r="N201" s="384">
        <v>1767</v>
      </c>
      <c r="O201" s="384">
        <v>1747</v>
      </c>
      <c r="P201" s="384">
        <v>1828</v>
      </c>
      <c r="Q201" s="384">
        <v>1743</v>
      </c>
    </row>
    <row r="202" spans="1:17">
      <c r="A202" s="380" t="s">
        <v>1238</v>
      </c>
      <c r="B202" s="381" t="s">
        <v>918</v>
      </c>
      <c r="C202" s="381" t="s">
        <v>1246</v>
      </c>
      <c r="D202" s="381" t="s">
        <v>470</v>
      </c>
      <c r="E202" s="382" t="s">
        <v>469</v>
      </c>
      <c r="F202" s="383">
        <v>12532</v>
      </c>
      <c r="G202" s="384">
        <v>12789</v>
      </c>
      <c r="H202" s="384">
        <v>12890</v>
      </c>
      <c r="I202" s="396">
        <v>12603</v>
      </c>
      <c r="J202" s="427">
        <v>12120</v>
      </c>
      <c r="K202" s="384">
        <v>12501</v>
      </c>
      <c r="L202" s="384">
        <v>12700</v>
      </c>
      <c r="M202" s="384">
        <v>12099</v>
      </c>
      <c r="N202" s="384">
        <v>12352</v>
      </c>
      <c r="O202" s="384">
        <v>12742</v>
      </c>
      <c r="P202" s="384">
        <v>12941</v>
      </c>
      <c r="Q202" s="384">
        <v>12331</v>
      </c>
    </row>
    <row r="203" spans="1:17">
      <c r="A203" s="380" t="s">
        <v>1238</v>
      </c>
      <c r="B203" s="381" t="s">
        <v>918</v>
      </c>
      <c r="C203" s="381" t="s">
        <v>1246</v>
      </c>
      <c r="D203" s="381" t="s">
        <v>506</v>
      </c>
      <c r="E203" s="382" t="s">
        <v>505</v>
      </c>
      <c r="F203" s="383">
        <v>3478</v>
      </c>
      <c r="G203" s="384">
        <v>3767</v>
      </c>
      <c r="H203" s="384">
        <v>4181</v>
      </c>
      <c r="I203" s="396">
        <v>3849</v>
      </c>
      <c r="J203" s="427">
        <v>3452</v>
      </c>
      <c r="K203" s="384">
        <v>3480</v>
      </c>
      <c r="L203" s="384">
        <v>3789</v>
      </c>
      <c r="M203" s="384">
        <v>3590</v>
      </c>
      <c r="N203" s="384">
        <v>3176</v>
      </c>
      <c r="O203" s="384">
        <v>3207</v>
      </c>
      <c r="P203" s="384">
        <v>3488</v>
      </c>
      <c r="Q203" s="384">
        <v>3302</v>
      </c>
    </row>
    <row r="204" spans="1:17">
      <c r="A204" s="380" t="s">
        <v>1238</v>
      </c>
      <c r="B204" s="381" t="s">
        <v>918</v>
      </c>
      <c r="C204" s="381" t="s">
        <v>1246</v>
      </c>
      <c r="D204" s="381" t="s">
        <v>534</v>
      </c>
      <c r="E204" s="382" t="s">
        <v>533</v>
      </c>
      <c r="F204" s="383">
        <v>1966</v>
      </c>
      <c r="G204" s="384">
        <v>1885</v>
      </c>
      <c r="H204" s="384">
        <v>2107</v>
      </c>
      <c r="I204" s="396">
        <v>2115</v>
      </c>
      <c r="J204" s="427">
        <v>2000</v>
      </c>
      <c r="K204" s="384">
        <v>1944</v>
      </c>
      <c r="L204" s="384">
        <v>2030</v>
      </c>
      <c r="M204" s="384">
        <v>1901</v>
      </c>
      <c r="N204" s="384">
        <v>1970</v>
      </c>
      <c r="O204" s="384">
        <v>1952</v>
      </c>
      <c r="P204" s="384">
        <v>2038</v>
      </c>
      <c r="Q204" s="384">
        <v>1947</v>
      </c>
    </row>
    <row r="205" spans="1:17">
      <c r="A205" s="380" t="s">
        <v>1238</v>
      </c>
      <c r="B205" s="381" t="s">
        <v>918</v>
      </c>
      <c r="C205" s="381" t="s">
        <v>1246</v>
      </c>
      <c r="D205" s="381" t="s">
        <v>628</v>
      </c>
      <c r="E205" s="382" t="s">
        <v>627</v>
      </c>
      <c r="F205" s="383">
        <v>2918</v>
      </c>
      <c r="G205" s="384">
        <v>2983</v>
      </c>
      <c r="H205" s="384">
        <v>3200</v>
      </c>
      <c r="I205" s="396">
        <v>3144</v>
      </c>
      <c r="J205" s="427">
        <v>2706</v>
      </c>
      <c r="K205" s="384">
        <v>2751</v>
      </c>
      <c r="L205" s="384">
        <v>2953</v>
      </c>
      <c r="M205" s="384">
        <v>2806</v>
      </c>
      <c r="N205" s="384">
        <v>2747</v>
      </c>
      <c r="O205" s="384">
        <v>2796</v>
      </c>
      <c r="P205" s="384">
        <v>3000</v>
      </c>
      <c r="Q205" s="384">
        <v>2851</v>
      </c>
    </row>
    <row r="206" spans="1:17">
      <c r="A206" s="380" t="s">
        <v>1238</v>
      </c>
      <c r="B206" s="381" t="s">
        <v>918</v>
      </c>
      <c r="C206" s="381" t="s">
        <v>1246</v>
      </c>
      <c r="D206" s="381" t="s">
        <v>632</v>
      </c>
      <c r="E206" s="382" t="s">
        <v>631</v>
      </c>
      <c r="F206" s="383">
        <v>2218</v>
      </c>
      <c r="G206" s="384">
        <v>2229</v>
      </c>
      <c r="H206" s="384">
        <v>2389</v>
      </c>
      <c r="I206" s="396">
        <v>2348</v>
      </c>
      <c r="J206" s="427">
        <v>2269</v>
      </c>
      <c r="K206" s="384">
        <v>2203</v>
      </c>
      <c r="L206" s="384">
        <v>2303</v>
      </c>
      <c r="M206" s="384">
        <v>2151</v>
      </c>
      <c r="N206" s="384">
        <v>2222</v>
      </c>
      <c r="O206" s="384">
        <v>2201</v>
      </c>
      <c r="P206" s="384">
        <v>2298</v>
      </c>
      <c r="Q206" s="384">
        <v>2193</v>
      </c>
    </row>
    <row r="207" spans="1:17">
      <c r="A207" s="380" t="s">
        <v>1238</v>
      </c>
      <c r="B207" s="381" t="s">
        <v>915</v>
      </c>
      <c r="C207" s="381" t="s">
        <v>1247</v>
      </c>
      <c r="D207" s="381" t="s">
        <v>186</v>
      </c>
      <c r="E207" s="382" t="s">
        <v>185</v>
      </c>
      <c r="F207" s="383">
        <v>19768</v>
      </c>
      <c r="G207" s="384">
        <v>20112</v>
      </c>
      <c r="H207" s="384">
        <v>20799</v>
      </c>
      <c r="I207" s="396">
        <v>21156</v>
      </c>
      <c r="J207" s="427">
        <v>19263</v>
      </c>
      <c r="K207" s="384">
        <v>19576</v>
      </c>
      <c r="L207" s="384">
        <v>20281</v>
      </c>
      <c r="M207" s="384">
        <v>19985</v>
      </c>
      <c r="N207" s="384">
        <v>18782</v>
      </c>
      <c r="O207" s="384">
        <v>19087</v>
      </c>
      <c r="P207" s="384">
        <v>19776</v>
      </c>
      <c r="Q207" s="384">
        <v>19487</v>
      </c>
    </row>
    <row r="208" spans="1:17">
      <c r="A208" s="380" t="s">
        <v>1238</v>
      </c>
      <c r="B208" s="381" t="s">
        <v>915</v>
      </c>
      <c r="C208" s="381" t="s">
        <v>1247</v>
      </c>
      <c r="D208" s="381" t="s">
        <v>236</v>
      </c>
      <c r="E208" s="382" t="s">
        <v>235</v>
      </c>
      <c r="F208" s="383">
        <v>4334</v>
      </c>
      <c r="G208" s="384">
        <v>4302</v>
      </c>
      <c r="H208" s="384">
        <v>4661</v>
      </c>
      <c r="I208" s="396">
        <v>4386</v>
      </c>
      <c r="J208" s="427">
        <v>4271</v>
      </c>
      <c r="K208" s="384">
        <v>4204</v>
      </c>
      <c r="L208" s="384">
        <v>4331</v>
      </c>
      <c r="M208" s="384">
        <v>4307</v>
      </c>
      <c r="N208" s="384">
        <v>4122</v>
      </c>
      <c r="O208" s="384">
        <v>4055</v>
      </c>
      <c r="P208" s="384">
        <v>4329</v>
      </c>
      <c r="Q208" s="384">
        <v>4344</v>
      </c>
    </row>
    <row r="209" spans="1:17">
      <c r="A209" s="380" t="s">
        <v>1238</v>
      </c>
      <c r="B209" s="381" t="s">
        <v>915</v>
      </c>
      <c r="C209" s="381" t="s">
        <v>1247</v>
      </c>
      <c r="D209" s="381" t="s">
        <v>323</v>
      </c>
      <c r="E209" s="382" t="s">
        <v>322</v>
      </c>
      <c r="F209" s="383">
        <v>3003</v>
      </c>
      <c r="G209" s="384">
        <v>2869</v>
      </c>
      <c r="H209" s="384">
        <v>3165</v>
      </c>
      <c r="I209" s="396">
        <v>2819</v>
      </c>
      <c r="J209" s="427">
        <v>3090</v>
      </c>
      <c r="K209" s="384">
        <v>3081</v>
      </c>
      <c r="L209" s="384">
        <v>3073</v>
      </c>
      <c r="M209" s="384">
        <v>3063</v>
      </c>
      <c r="N209" s="384">
        <v>3139</v>
      </c>
      <c r="O209" s="384">
        <v>3128</v>
      </c>
      <c r="P209" s="384">
        <v>3119</v>
      </c>
      <c r="Q209" s="384">
        <v>3112</v>
      </c>
    </row>
    <row r="210" spans="1:17">
      <c r="A210" s="380" t="s">
        <v>1238</v>
      </c>
      <c r="B210" s="381" t="s">
        <v>915</v>
      </c>
      <c r="C210" s="381" t="s">
        <v>1247</v>
      </c>
      <c r="D210" s="381" t="s">
        <v>416</v>
      </c>
      <c r="E210" s="382" t="s">
        <v>415</v>
      </c>
      <c r="F210" s="383">
        <v>4481</v>
      </c>
      <c r="G210" s="384">
        <v>4534</v>
      </c>
      <c r="H210" s="384">
        <v>4673</v>
      </c>
      <c r="I210" s="396">
        <v>4479</v>
      </c>
      <c r="J210" s="427">
        <v>4277</v>
      </c>
      <c r="K210" s="384">
        <v>4247</v>
      </c>
      <c r="L210" s="384">
        <v>4433</v>
      </c>
      <c r="M210" s="384">
        <v>4355</v>
      </c>
      <c r="N210" s="384">
        <v>4074</v>
      </c>
      <c r="O210" s="384">
        <v>4047</v>
      </c>
      <c r="P210" s="384">
        <v>4228</v>
      </c>
      <c r="Q210" s="384">
        <v>4205</v>
      </c>
    </row>
    <row r="211" spans="1:17">
      <c r="A211" s="380" t="s">
        <v>1238</v>
      </c>
      <c r="B211" s="381" t="s">
        <v>915</v>
      </c>
      <c r="C211" s="381" t="s">
        <v>1247</v>
      </c>
      <c r="D211" s="381" t="s">
        <v>422</v>
      </c>
      <c r="E211" s="382" t="s">
        <v>421</v>
      </c>
      <c r="F211" s="383">
        <v>4571</v>
      </c>
      <c r="G211" s="384">
        <v>4561</v>
      </c>
      <c r="H211" s="384">
        <v>4475</v>
      </c>
      <c r="I211" s="396">
        <v>4520</v>
      </c>
      <c r="J211" s="427">
        <v>4272</v>
      </c>
      <c r="K211" s="384">
        <v>4276</v>
      </c>
      <c r="L211" s="384">
        <v>4444</v>
      </c>
      <c r="M211" s="384">
        <v>4815</v>
      </c>
      <c r="N211" s="384">
        <v>4174</v>
      </c>
      <c r="O211" s="384">
        <v>4177</v>
      </c>
      <c r="P211" s="384">
        <v>4335</v>
      </c>
      <c r="Q211" s="384">
        <v>4735</v>
      </c>
    </row>
    <row r="212" spans="1:17">
      <c r="A212" s="380" t="s">
        <v>1238</v>
      </c>
      <c r="B212" s="381" t="s">
        <v>915</v>
      </c>
      <c r="C212" s="381" t="s">
        <v>1247</v>
      </c>
      <c r="D212" s="381" t="s">
        <v>473</v>
      </c>
      <c r="E212" s="382" t="s">
        <v>472</v>
      </c>
      <c r="F212" s="383">
        <v>4997</v>
      </c>
      <c r="G212" s="384">
        <v>4883</v>
      </c>
      <c r="H212" s="384">
        <v>5375</v>
      </c>
      <c r="I212" s="396">
        <v>5033</v>
      </c>
      <c r="J212" s="427">
        <v>4864</v>
      </c>
      <c r="K212" s="384">
        <v>4785</v>
      </c>
      <c r="L212" s="384">
        <v>4856</v>
      </c>
      <c r="M212" s="384">
        <v>4839</v>
      </c>
      <c r="N212" s="384">
        <v>4654</v>
      </c>
      <c r="O212" s="384">
        <v>4575</v>
      </c>
      <c r="P212" s="384">
        <v>4886</v>
      </c>
      <c r="Q212" s="384">
        <v>4909</v>
      </c>
    </row>
    <row r="213" spans="1:17">
      <c r="A213" s="380" t="s">
        <v>1238</v>
      </c>
      <c r="B213" s="381" t="s">
        <v>915</v>
      </c>
      <c r="C213" s="381" t="s">
        <v>1247</v>
      </c>
      <c r="D213" s="381" t="s">
        <v>522</v>
      </c>
      <c r="E213" s="382" t="s">
        <v>521</v>
      </c>
      <c r="F213" s="383">
        <v>4496</v>
      </c>
      <c r="G213" s="384">
        <v>4593</v>
      </c>
      <c r="H213" s="384">
        <v>4793</v>
      </c>
      <c r="I213" s="396">
        <v>4426</v>
      </c>
      <c r="J213" s="427">
        <v>4443</v>
      </c>
      <c r="K213" s="384">
        <v>4371</v>
      </c>
      <c r="L213" s="384">
        <v>4507</v>
      </c>
      <c r="M213" s="384">
        <v>4482</v>
      </c>
      <c r="N213" s="384">
        <v>4266</v>
      </c>
      <c r="O213" s="384">
        <v>4200</v>
      </c>
      <c r="P213" s="384">
        <v>4468</v>
      </c>
      <c r="Q213" s="384">
        <v>4489</v>
      </c>
    </row>
    <row r="214" spans="1:17">
      <c r="A214" s="380" t="s">
        <v>1238</v>
      </c>
      <c r="B214" s="381" t="s">
        <v>915</v>
      </c>
      <c r="C214" s="381" t="s">
        <v>1247</v>
      </c>
      <c r="D214" s="381" t="s">
        <v>548</v>
      </c>
      <c r="E214" s="382" t="s">
        <v>547</v>
      </c>
      <c r="F214" s="383">
        <v>7513</v>
      </c>
      <c r="G214" s="384">
        <v>7430</v>
      </c>
      <c r="H214" s="384">
        <v>7766</v>
      </c>
      <c r="I214" s="396">
        <v>7332</v>
      </c>
      <c r="J214" s="427">
        <v>7497</v>
      </c>
      <c r="K214" s="384">
        <v>7480</v>
      </c>
      <c r="L214" s="384">
        <v>7777</v>
      </c>
      <c r="M214" s="384">
        <v>7596</v>
      </c>
      <c r="N214" s="384">
        <v>7426</v>
      </c>
      <c r="O214" s="384">
        <v>7409</v>
      </c>
      <c r="P214" s="384">
        <v>7703</v>
      </c>
      <c r="Q214" s="384">
        <v>7609</v>
      </c>
    </row>
    <row r="215" spans="1:17" ht="15.75" thickBot="1">
      <c r="A215" s="385" t="s">
        <v>1238</v>
      </c>
      <c r="B215" s="386" t="s">
        <v>915</v>
      </c>
      <c r="C215" s="386" t="s">
        <v>1247</v>
      </c>
      <c r="D215" s="386" t="s">
        <v>610</v>
      </c>
      <c r="E215" s="387" t="s">
        <v>609</v>
      </c>
      <c r="F215" s="388">
        <v>12663</v>
      </c>
      <c r="G215" s="389">
        <v>12855</v>
      </c>
      <c r="H215" s="389">
        <v>13222</v>
      </c>
      <c r="I215" s="397">
        <v>13023</v>
      </c>
      <c r="J215" s="427">
        <v>12852</v>
      </c>
      <c r="K215" s="384">
        <v>12931</v>
      </c>
      <c r="L215" s="384">
        <v>13409</v>
      </c>
      <c r="M215" s="384">
        <v>13204</v>
      </c>
      <c r="N215" s="384">
        <v>12862</v>
      </c>
      <c r="O215" s="384">
        <v>12933</v>
      </c>
      <c r="P215" s="384">
        <v>13410</v>
      </c>
      <c r="Q215" s="384">
        <v>13370</v>
      </c>
    </row>
    <row r="216" spans="1:17">
      <c r="E216" s="390" t="s">
        <v>644</v>
      </c>
      <c r="F216" s="391">
        <f>SUM(F5:F215)</f>
        <v>1333471</v>
      </c>
      <c r="G216" s="391">
        <f t="shared" ref="G216:I216" si="0">SUM(G5:G215)</f>
        <v>1322137</v>
      </c>
      <c r="H216" s="391">
        <f t="shared" si="0"/>
        <v>1373818</v>
      </c>
      <c r="I216" s="391">
        <f t="shared" si="0"/>
        <v>1364837</v>
      </c>
      <c r="J216" s="391">
        <f>SUM(J5:J215)</f>
        <v>1356745.5244463107</v>
      </c>
      <c r="K216" s="391">
        <f t="shared" ref="K216:Q216" si="1">SUM(K5:K215)</f>
        <v>1357444.8625149047</v>
      </c>
      <c r="L216" s="391">
        <f t="shared" si="1"/>
        <v>1383126.0856959899</v>
      </c>
      <c r="M216" s="391">
        <f t="shared" si="1"/>
        <v>1361515.6817551136</v>
      </c>
      <c r="N216" s="391">
        <f t="shared" si="1"/>
        <v>1289364.2717483207</v>
      </c>
      <c r="O216" s="391">
        <f t="shared" si="1"/>
        <v>1289198.1695529195</v>
      </c>
      <c r="P216" s="391">
        <f t="shared" si="1"/>
        <v>1319624.2063894386</v>
      </c>
      <c r="Q216" s="391">
        <f t="shared" si="1"/>
        <v>1301242.752725757</v>
      </c>
    </row>
    <row r="218" spans="1:17">
      <c r="A218" s="362" t="s">
        <v>1248</v>
      </c>
    </row>
  </sheetData>
  <sheetProtection password="DABD" sheet="1" objects="1" scenarios="1" formatColumns="0" formatRows="0" autoFilter="0"/>
  <autoFilter ref="A4:A21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871"/>
  <sheetViews>
    <sheetView workbookViewId="0">
      <pane ySplit="4" topLeftCell="A5" activePane="bottomLeft" state="frozen"/>
      <selection activeCell="J216" sqref="J216:M216"/>
      <selection pane="bottomLeft" activeCell="E870" sqref="E5:E870"/>
    </sheetView>
  </sheetViews>
  <sheetFormatPr defaultColWidth="7.5546875" defaultRowHeight="15.05"/>
  <cols>
    <col min="1" max="1" width="5.33203125" style="362" customWidth="1"/>
    <col min="2" max="2" width="31" style="362" customWidth="1"/>
    <col min="3" max="3" width="13.88671875" style="362" customWidth="1"/>
    <col min="4" max="4" width="26.5546875" style="362" customWidth="1"/>
    <col min="5" max="5" width="6.44140625" style="362" customWidth="1"/>
    <col min="6" max="6" width="20.6640625" style="362" customWidth="1"/>
    <col min="7" max="7" width="24.6640625" style="362" customWidth="1"/>
    <col min="8" max="9" width="14.44140625" style="362" customWidth="1"/>
    <col min="10" max="18" width="20.6640625" style="362" customWidth="1"/>
    <col min="19" max="21" width="10.6640625" style="362" customWidth="1"/>
    <col min="22" max="16384" width="7.5546875" style="362"/>
  </cols>
  <sheetData>
    <row r="1" spans="1:21">
      <c r="B1" s="390" t="s">
        <v>1249</v>
      </c>
      <c r="C1" s="363"/>
      <c r="D1" s="363"/>
      <c r="E1" s="363"/>
      <c r="F1" s="363"/>
      <c r="G1" s="363"/>
      <c r="H1" s="550"/>
      <c r="I1" s="550"/>
    </row>
    <row r="2" spans="1:21" ht="13.6" customHeight="1">
      <c r="A2" s="363">
        <v>1</v>
      </c>
      <c r="B2" s="363"/>
      <c r="C2" s="363"/>
      <c r="D2" s="363"/>
      <c r="E2" s="363"/>
      <c r="F2" s="363"/>
      <c r="G2" s="363"/>
      <c r="I2" s="363"/>
      <c r="J2" s="363"/>
      <c r="K2" s="363"/>
      <c r="L2" s="363"/>
      <c r="M2" s="363"/>
    </row>
    <row r="3" spans="1:21" ht="15.75" thickBot="1">
      <c r="A3" s="363"/>
      <c r="B3" s="363"/>
      <c r="C3" s="363"/>
      <c r="D3" s="363"/>
      <c r="E3" s="363"/>
      <c r="F3" s="363"/>
      <c r="G3" s="363"/>
      <c r="H3" s="393" t="s">
        <v>1250</v>
      </c>
      <c r="I3" s="363"/>
    </row>
    <row r="4" spans="1:21" ht="59.25" customHeight="1" thickBot="1">
      <c r="A4" s="540" t="s">
        <v>8</v>
      </c>
      <c r="B4" s="539" t="s">
        <v>1329</v>
      </c>
      <c r="C4" s="539" t="s">
        <v>850</v>
      </c>
      <c r="D4" s="539" t="s">
        <v>1330</v>
      </c>
      <c r="E4" s="536"/>
      <c r="F4" s="536"/>
      <c r="G4" s="536"/>
      <c r="H4" s="544" t="s">
        <v>1327</v>
      </c>
      <c r="I4" s="545" t="s">
        <v>1328</v>
      </c>
      <c r="J4" s="542" t="s">
        <v>884</v>
      </c>
      <c r="K4" s="542" t="s">
        <v>885</v>
      </c>
      <c r="L4" s="542" t="s">
        <v>886</v>
      </c>
      <c r="M4" s="542" t="s">
        <v>1270</v>
      </c>
      <c r="N4" s="542" t="s">
        <v>887</v>
      </c>
      <c r="O4" s="542" t="s">
        <v>888</v>
      </c>
      <c r="P4" s="542" t="s">
        <v>889</v>
      </c>
      <c r="Q4" s="542" t="s">
        <v>890</v>
      </c>
      <c r="R4" s="543" t="s">
        <v>1287</v>
      </c>
      <c r="S4" s="543" t="s">
        <v>1288</v>
      </c>
      <c r="T4" s="543" t="s">
        <v>1289</v>
      </c>
      <c r="U4" s="543" t="s">
        <v>1290</v>
      </c>
    </row>
    <row r="5" spans="1:21">
      <c r="A5" s="395" t="s">
        <v>5</v>
      </c>
      <c r="B5" s="394" t="s">
        <v>1236</v>
      </c>
      <c r="C5" s="394" t="s">
        <v>662</v>
      </c>
      <c r="D5" s="394" t="s">
        <v>68</v>
      </c>
      <c r="E5" s="537">
        <f>COUNTIF($D$5:D5,D5)</f>
        <v>1</v>
      </c>
      <c r="F5" s="537" t="str">
        <f>D5&amp;E5</f>
        <v>Bradford1</v>
      </c>
      <c r="G5" s="541" t="str">
        <f>B5</f>
        <v>NHS Airedale, Wharfdale and Craven CCG</v>
      </c>
      <c r="H5" s="546">
        <v>0.67380040406100428</v>
      </c>
      <c r="I5" s="546">
        <v>0.18822448641690895</v>
      </c>
      <c r="J5" s="384">
        <f>VLOOKUP($A5,'8.Non-elective admissions - CCG'!$D$5:$N$215,3,0)*$H5</f>
        <v>2730.9130376592502</v>
      </c>
      <c r="K5" s="384">
        <f>VLOOKUP($A5,'8.Non-elective admissions - CCG'!$D$5:$N$215,4,0)*$H5</f>
        <v>2716.0894287699084</v>
      </c>
      <c r="L5" s="384">
        <f>VLOOKUP($A5,'8.Non-elective admissions - CCG'!$D$5:$N$215,5,0)*$H5</f>
        <v>2988.9785924146149</v>
      </c>
      <c r="M5" s="384">
        <f>VLOOKUP($A5,'8.Non-elective admissions - CCG'!$D$5:$N$215,6,0)*$H5</f>
        <v>3170.9047015110859</v>
      </c>
      <c r="N5" s="384">
        <f>VLOOKUP($A5,'8.Non-elective admissions - CCG'!$D$5:$N$215,7,0)*$H5</f>
        <v>2401.4246400734191</v>
      </c>
      <c r="O5" s="384">
        <f>VLOOKUP($A5,'8.Non-elective admissions - CCG'!$D$5:$N$215,8,0)*$H5</f>
        <v>2482.2806885607397</v>
      </c>
      <c r="P5" s="384">
        <f>VLOOKUP($A5,'8.Non-elective admissions - CCG'!$D$5:$N$215,9,0)*$H5</f>
        <v>2625.8001746257337</v>
      </c>
      <c r="Q5" s="384">
        <f>VLOOKUP($A5,'8.Non-elective admissions - CCG'!$D$5:$N$215,10,0)*$H5</f>
        <v>2710.0252251333591</v>
      </c>
      <c r="R5" s="384">
        <f>VLOOKUP($A5,'8.Non-elective admissions - CCG'!$D$5:$Q$215,11,0)*$H5</f>
        <v>2419.6172509830662</v>
      </c>
      <c r="S5" s="384">
        <f>VLOOKUP($A5,'8.Non-elective admissions - CCG'!$D$5:$Q$215,12,0)*$H5</f>
        <v>2505.1899022988141</v>
      </c>
      <c r="T5" s="384">
        <f>VLOOKUP($A5,'8.Non-elective admissions - CCG'!$D$5:$Q$215,13,0)*$H5</f>
        <v>2643.3189851313196</v>
      </c>
      <c r="U5" s="384">
        <f>VLOOKUP($A5,'8.Non-elective admissions - CCG'!$D$5:$Q$215,14,0)*$H5</f>
        <v>2749.1056485688973</v>
      </c>
    </row>
    <row r="6" spans="1:21">
      <c r="A6" s="395" t="s">
        <v>5</v>
      </c>
      <c r="B6" s="395" t="s">
        <v>1236</v>
      </c>
      <c r="C6" s="395" t="s">
        <v>718</v>
      </c>
      <c r="D6" s="395" t="s">
        <v>270</v>
      </c>
      <c r="E6" s="537">
        <f>COUNTIF($D$5:D6,D6)</f>
        <v>1</v>
      </c>
      <c r="F6" s="537" t="str">
        <f t="shared" ref="F6:F69" si="0">D6&amp;E6</f>
        <v>Lancashire1</v>
      </c>
      <c r="G6" s="541" t="str">
        <f t="shared" ref="G6:G69" si="1">B6</f>
        <v>NHS Airedale, Wharfdale and Craven CCG</v>
      </c>
      <c r="H6" s="546">
        <v>1.6379129038220093E-3</v>
      </c>
      <c r="I6" s="546">
        <v>0</v>
      </c>
      <c r="J6" s="384">
        <f>VLOOKUP($A6,'8.Non-elective admissions - CCG'!$D$5:$N$215,3,0)*$H6</f>
        <v>6.6384609991906034</v>
      </c>
      <c r="K6" s="384">
        <f>VLOOKUP($A6,'8.Non-elective admissions - CCG'!$D$5:$N$215,4,0)*$H6</f>
        <v>6.6024269153065189</v>
      </c>
      <c r="L6" s="384">
        <f>VLOOKUP($A6,'8.Non-elective admissions - CCG'!$D$5:$N$215,5,0)*$H6</f>
        <v>7.2657816413544332</v>
      </c>
      <c r="M6" s="384">
        <f>VLOOKUP($A6,'8.Non-elective admissions - CCG'!$D$5:$N$215,6,0)*$H6</f>
        <v>7.708018125386376</v>
      </c>
      <c r="N6" s="384">
        <f>VLOOKUP($A6,'8.Non-elective admissions - CCG'!$D$5:$N$215,7,0)*$H6</f>
        <v>5.837521589221641</v>
      </c>
      <c r="O6" s="384">
        <f>VLOOKUP($A6,'8.Non-elective admissions - CCG'!$D$5:$N$215,8,0)*$H6</f>
        <v>6.0340711376802822</v>
      </c>
      <c r="P6" s="384">
        <f>VLOOKUP($A6,'8.Non-elective admissions - CCG'!$D$5:$N$215,9,0)*$H6</f>
        <v>6.3829465861943699</v>
      </c>
      <c r="Q6" s="384">
        <f>VLOOKUP($A6,'8.Non-elective admissions - CCG'!$D$5:$N$215,10,0)*$H6</f>
        <v>6.5876856991721215</v>
      </c>
      <c r="R6" s="384">
        <f>VLOOKUP($A6,'8.Non-elective admissions - CCG'!$D$5:$Q$215,11,0)*$H6</f>
        <v>5.8817452376248349</v>
      </c>
      <c r="S6" s="384">
        <f>VLOOKUP($A6,'8.Non-elective admissions - CCG'!$D$5:$Q$215,12,0)*$H6</f>
        <v>6.0897601764102305</v>
      </c>
      <c r="T6" s="384">
        <f>VLOOKUP($A6,'8.Non-elective admissions - CCG'!$D$5:$Q$215,13,0)*$H6</f>
        <v>6.4255323216937423</v>
      </c>
      <c r="U6" s="384">
        <f>VLOOKUP($A6,'8.Non-elective admissions - CCG'!$D$5:$Q$215,14,0)*$H6</f>
        <v>6.6826846475937973</v>
      </c>
    </row>
    <row r="7" spans="1:21">
      <c r="A7" s="395" t="s">
        <v>5</v>
      </c>
      <c r="B7" s="395" t="s">
        <v>1236</v>
      </c>
      <c r="C7" s="395" t="s">
        <v>738</v>
      </c>
      <c r="D7" s="395" t="s">
        <v>330</v>
      </c>
      <c r="E7" s="537">
        <f>COUNTIF($D$5:D7,D7)</f>
        <v>1</v>
      </c>
      <c r="F7" s="537" t="str">
        <f t="shared" si="0"/>
        <v>North Yorkshire1</v>
      </c>
      <c r="G7" s="541" t="str">
        <f t="shared" si="1"/>
        <v>NHS Airedale, Wharfdale and Craven CCG</v>
      </c>
      <c r="H7" s="546">
        <v>0.32456168303517369</v>
      </c>
      <c r="I7" s="546">
        <v>8.349400592849085E-2</v>
      </c>
      <c r="J7" s="384">
        <f>VLOOKUP($A7,'8.Non-elective admissions - CCG'!$D$5:$N$215,3,0)*$H7</f>
        <v>1315.448501341559</v>
      </c>
      <c r="K7" s="384">
        <f>VLOOKUP($A7,'8.Non-elective admissions - CCG'!$D$5:$N$215,4,0)*$H7</f>
        <v>1308.3081443147851</v>
      </c>
      <c r="L7" s="384">
        <f>VLOOKUP($A7,'8.Non-elective admissions - CCG'!$D$5:$N$215,5,0)*$H7</f>
        <v>1439.7556259440305</v>
      </c>
      <c r="M7" s="384">
        <f>VLOOKUP($A7,'8.Non-elective admissions - CCG'!$D$5:$N$215,6,0)*$H7</f>
        <v>1527.3872803635275</v>
      </c>
      <c r="N7" s="384">
        <f>VLOOKUP($A7,'8.Non-elective admissions - CCG'!$D$5:$N$215,7,0)*$H7</f>
        <v>1156.7378383373591</v>
      </c>
      <c r="O7" s="384">
        <f>VLOOKUP($A7,'8.Non-elective admissions - CCG'!$D$5:$N$215,8,0)*$H7</f>
        <v>1195.6852403015798</v>
      </c>
      <c r="P7" s="384">
        <f>VLOOKUP($A7,'8.Non-elective admissions - CCG'!$D$5:$N$215,9,0)*$H7</f>
        <v>1264.8168787880718</v>
      </c>
      <c r="Q7" s="384">
        <f>VLOOKUP($A7,'8.Non-elective admissions - CCG'!$D$5:$N$215,10,0)*$H7</f>
        <v>1305.3870891674685</v>
      </c>
      <c r="R7" s="384">
        <f>VLOOKUP($A7,'8.Non-elective admissions - CCG'!$D$5:$Q$215,11,0)*$H7</f>
        <v>1165.5010037793088</v>
      </c>
      <c r="S7" s="384">
        <f>VLOOKUP($A7,'8.Non-elective admissions - CCG'!$D$5:$Q$215,12,0)*$H7</f>
        <v>1206.7203375247757</v>
      </c>
      <c r="T7" s="384">
        <f>VLOOKUP($A7,'8.Non-elective admissions - CCG'!$D$5:$Q$215,13,0)*$H7</f>
        <v>1273.2554825469863</v>
      </c>
      <c r="U7" s="384">
        <f>VLOOKUP($A7,'8.Non-elective admissions - CCG'!$D$5:$Q$215,14,0)*$H7</f>
        <v>1324.2116667835087</v>
      </c>
    </row>
    <row r="8" spans="1:21">
      <c r="A8" s="395" t="s">
        <v>12</v>
      </c>
      <c r="B8" s="395" t="s">
        <v>11</v>
      </c>
      <c r="C8" s="395" t="s">
        <v>712</v>
      </c>
      <c r="D8" s="395" t="s">
        <v>252</v>
      </c>
      <c r="E8" s="537">
        <f>COUNTIF($D$5:D8,D8)</f>
        <v>1</v>
      </c>
      <c r="F8" s="537" t="str">
        <f t="shared" si="0"/>
        <v>Kent1</v>
      </c>
      <c r="G8" s="541" t="str">
        <f t="shared" si="1"/>
        <v>NHS Ashford CCG</v>
      </c>
      <c r="H8" s="546">
        <v>0.99999999999999989</v>
      </c>
      <c r="I8" s="546">
        <v>8.2517762420656629E-2</v>
      </c>
      <c r="J8" s="384">
        <f>VLOOKUP($A8,'8.Non-elective admissions - CCG'!$D$5:$N$215,3,0)*$H8</f>
        <v>2604.9999999999995</v>
      </c>
      <c r="K8" s="384">
        <f>VLOOKUP($A8,'8.Non-elective admissions - CCG'!$D$5:$N$215,4,0)*$H8</f>
        <v>2635.9999999999995</v>
      </c>
      <c r="L8" s="384">
        <f>VLOOKUP($A8,'8.Non-elective admissions - CCG'!$D$5:$N$215,5,0)*$H8</f>
        <v>2558.9999999999995</v>
      </c>
      <c r="M8" s="384">
        <f>VLOOKUP($A8,'8.Non-elective admissions - CCG'!$D$5:$N$215,6,0)*$H8</f>
        <v>2757.9999999999995</v>
      </c>
      <c r="N8" s="384">
        <f>VLOOKUP($A8,'8.Non-elective admissions - CCG'!$D$5:$N$215,7,0)*$H8</f>
        <v>2685.1718542447998</v>
      </c>
      <c r="O8" s="384">
        <f>VLOOKUP($A8,'8.Non-elective admissions - CCG'!$D$5:$N$215,8,0)*$H8</f>
        <v>2714.6792372667996</v>
      </c>
      <c r="P8" s="384">
        <f>VLOOKUP($A8,'8.Non-elective admissions - CCG'!$D$5:$N$215,9,0)*$H8</f>
        <v>2714.6792372668001</v>
      </c>
      <c r="Q8" s="384">
        <f>VLOOKUP($A8,'8.Non-elective admissions - CCG'!$D$5:$N$215,10,0)*$H8</f>
        <v>2655.6644712428001</v>
      </c>
      <c r="R8" s="384">
        <f>VLOOKUP($A8,'8.Non-elective admissions - CCG'!$D$5:$Q$215,11,0)*$H8</f>
        <v>2643.1640510978996</v>
      </c>
      <c r="S8" s="384">
        <f>VLOOKUP($A8,'8.Non-elective admissions - CCG'!$D$5:$Q$215,12,0)*$H8</f>
        <v>2672.2098099020996</v>
      </c>
      <c r="T8" s="384">
        <f>VLOOKUP($A8,'8.Non-elective admissions - CCG'!$D$5:$Q$215,13,0)*$H8</f>
        <v>2672.2098099020996</v>
      </c>
      <c r="U8" s="384">
        <f>VLOOKUP($A8,'8.Non-elective admissions - CCG'!$D$5:$Q$215,14,0)*$H8</f>
        <v>2643.1640510968996</v>
      </c>
    </row>
    <row r="9" spans="1:21">
      <c r="A9" s="395" t="s">
        <v>18</v>
      </c>
      <c r="B9" s="395" t="s">
        <v>17</v>
      </c>
      <c r="C9" s="395" t="s">
        <v>667</v>
      </c>
      <c r="D9" s="395" t="s">
        <v>86</v>
      </c>
      <c r="E9" s="537">
        <f>COUNTIF($D$5:D9,D9)</f>
        <v>1</v>
      </c>
      <c r="F9" s="537" t="str">
        <f t="shared" si="0"/>
        <v>Buckinghamshire1</v>
      </c>
      <c r="G9" s="541" t="str">
        <f t="shared" si="1"/>
        <v>NHS Aylesbury Vale CCG</v>
      </c>
      <c r="H9" s="546">
        <v>0.91120035039542513</v>
      </c>
      <c r="I9" s="546">
        <v>0.34785851568092196</v>
      </c>
      <c r="J9" s="384">
        <f>VLOOKUP($A9,'8.Non-elective admissions - CCG'!$D$5:$N$215,3,0)*$H9</f>
        <v>3442.5149237939163</v>
      </c>
      <c r="K9" s="384">
        <f>VLOOKUP($A9,'8.Non-elective admissions - CCG'!$D$5:$N$215,4,0)*$H9</f>
        <v>3289.4332649274847</v>
      </c>
      <c r="L9" s="384">
        <f>VLOOKUP($A9,'8.Non-elective admissions - CCG'!$D$5:$N$215,5,0)*$H9</f>
        <v>3586.4845791563935</v>
      </c>
      <c r="M9" s="384">
        <f>VLOOKUP($A9,'8.Non-elective admissions - CCG'!$D$5:$N$215,6,0)*$H9</f>
        <v>3679.4270148967266</v>
      </c>
      <c r="N9" s="384">
        <f>VLOOKUP($A9,'8.Non-elective admissions - CCG'!$D$5:$N$215,7,0)*$H9</f>
        <v>4034.7951515509426</v>
      </c>
      <c r="O9" s="384">
        <f>VLOOKUP($A9,'8.Non-elective admissions - CCG'!$D$5:$N$215,8,0)*$H9</f>
        <v>4071.2431655667597</v>
      </c>
      <c r="P9" s="384">
        <f>VLOOKUP($A9,'8.Non-elective admissions - CCG'!$D$5:$N$215,9,0)*$H9</f>
        <v>4081.2663694211092</v>
      </c>
      <c r="Q9" s="384">
        <f>VLOOKUP($A9,'8.Non-elective admissions - CCG'!$D$5:$N$215,10,0)*$H9</f>
        <v>3992.879935432753</v>
      </c>
      <c r="R9" s="384">
        <f>VLOOKUP($A9,'8.Non-elective admissions - CCG'!$D$5:$Q$215,11,0)*$H9</f>
        <v>4034.7951515509426</v>
      </c>
      <c r="S9" s="384">
        <f>VLOOKUP($A9,'8.Non-elective admissions - CCG'!$D$5:$Q$215,12,0)*$H9</f>
        <v>4071.2431655667597</v>
      </c>
      <c r="T9" s="384">
        <f>VLOOKUP($A9,'8.Non-elective admissions - CCG'!$D$5:$Q$215,13,0)*$H9</f>
        <v>4081.2663694211092</v>
      </c>
      <c r="U9" s="384">
        <f>VLOOKUP($A9,'8.Non-elective admissions - CCG'!$D$5:$Q$215,14,0)*$H9</f>
        <v>3992.879935432753</v>
      </c>
    </row>
    <row r="10" spans="1:21">
      <c r="A10" s="395" t="s">
        <v>18</v>
      </c>
      <c r="B10" s="395" t="s">
        <v>17</v>
      </c>
      <c r="C10" s="395" t="s">
        <v>672</v>
      </c>
      <c r="D10" s="395" t="s">
        <v>106</v>
      </c>
      <c r="E10" s="537">
        <f>COUNTIF($D$5:D10,D10)</f>
        <v>1</v>
      </c>
      <c r="F10" s="537" t="str">
        <f t="shared" si="0"/>
        <v>Central Bedfordshire1</v>
      </c>
      <c r="G10" s="541" t="str">
        <f t="shared" si="1"/>
        <v>NHS Aylesbury Vale CCG</v>
      </c>
      <c r="H10" s="546">
        <v>2.0595573797115144E-2</v>
      </c>
      <c r="I10" s="546">
        <v>1.5437392795883362E-2</v>
      </c>
      <c r="J10" s="384">
        <f>VLOOKUP($A10,'8.Non-elective admissions - CCG'!$D$5:$N$215,3,0)*$H10</f>
        <v>77.81007780550101</v>
      </c>
      <c r="K10" s="384">
        <f>VLOOKUP($A10,'8.Non-elective admissions - CCG'!$D$5:$N$215,4,0)*$H10</f>
        <v>74.350021407585672</v>
      </c>
      <c r="L10" s="384">
        <f>VLOOKUP($A10,'8.Non-elective admissions - CCG'!$D$5:$N$215,5,0)*$H10</f>
        <v>81.06417846544521</v>
      </c>
      <c r="M10" s="384">
        <f>VLOOKUP($A10,'8.Non-elective admissions - CCG'!$D$5:$N$215,6,0)*$H10</f>
        <v>83.164926992750949</v>
      </c>
      <c r="N10" s="384">
        <f>VLOOKUP($A10,'8.Non-elective admissions - CCG'!$D$5:$N$215,7,0)*$H10</f>
        <v>91.197200773625852</v>
      </c>
      <c r="O10" s="384">
        <f>VLOOKUP($A10,'8.Non-elective admissions - CCG'!$D$5:$N$215,8,0)*$H10</f>
        <v>92.02102372551046</v>
      </c>
      <c r="P10" s="384">
        <f>VLOOKUP($A10,'8.Non-elective admissions - CCG'!$D$5:$N$215,9,0)*$H10</f>
        <v>92.247575037278722</v>
      </c>
      <c r="Q10" s="384">
        <f>VLOOKUP($A10,'8.Non-elective admissions - CCG'!$D$5:$N$215,10,0)*$H10</f>
        <v>90.249804378958558</v>
      </c>
      <c r="R10" s="384">
        <f>VLOOKUP($A10,'8.Non-elective admissions - CCG'!$D$5:$Q$215,11,0)*$H10</f>
        <v>91.197200773625852</v>
      </c>
      <c r="S10" s="384">
        <f>VLOOKUP($A10,'8.Non-elective admissions - CCG'!$D$5:$Q$215,12,0)*$H10</f>
        <v>92.02102372551046</v>
      </c>
      <c r="T10" s="384">
        <f>VLOOKUP($A10,'8.Non-elective admissions - CCG'!$D$5:$Q$215,13,0)*$H10</f>
        <v>92.247575037278722</v>
      </c>
      <c r="U10" s="384">
        <f>VLOOKUP($A10,'8.Non-elective admissions - CCG'!$D$5:$Q$215,14,0)*$H10</f>
        <v>90.249804378958558</v>
      </c>
    </row>
    <row r="11" spans="1:21">
      <c r="A11" s="395" t="s">
        <v>18</v>
      </c>
      <c r="B11" s="395" t="s">
        <v>17</v>
      </c>
      <c r="C11" s="395" t="s">
        <v>705</v>
      </c>
      <c r="D11" s="395" t="s">
        <v>227</v>
      </c>
      <c r="E11" s="537">
        <f>COUNTIF($D$5:D11,D11)</f>
        <v>1</v>
      </c>
      <c r="F11" s="537" t="str">
        <f t="shared" si="0"/>
        <v>Hertfordshire1</v>
      </c>
      <c r="G11" s="541" t="str">
        <f t="shared" si="1"/>
        <v>NHS Aylesbury Vale CCG</v>
      </c>
      <c r="H11" s="546">
        <v>3.976397521641346E-3</v>
      </c>
      <c r="I11" s="546">
        <v>0</v>
      </c>
      <c r="J11" s="384">
        <f>VLOOKUP($A11,'8.Non-elective admissions - CCG'!$D$5:$N$215,3,0)*$H11</f>
        <v>15.022829836761005</v>
      </c>
      <c r="K11" s="384">
        <f>VLOOKUP($A11,'8.Non-elective admissions - CCG'!$D$5:$N$215,4,0)*$H11</f>
        <v>14.35479505312526</v>
      </c>
      <c r="L11" s="384">
        <f>VLOOKUP($A11,'8.Non-elective admissions - CCG'!$D$5:$N$215,5,0)*$H11</f>
        <v>15.651100645180337</v>
      </c>
      <c r="M11" s="384">
        <f>VLOOKUP($A11,'8.Non-elective admissions - CCG'!$D$5:$N$215,6,0)*$H11</f>
        <v>16.056693192387755</v>
      </c>
      <c r="N11" s="384">
        <f>VLOOKUP($A11,'8.Non-elective admissions - CCG'!$D$5:$N$215,7,0)*$H11</f>
        <v>17.607488225827879</v>
      </c>
      <c r="O11" s="384">
        <f>VLOOKUP($A11,'8.Non-elective admissions - CCG'!$D$5:$N$215,8,0)*$H11</f>
        <v>17.766544126693535</v>
      </c>
      <c r="P11" s="384">
        <f>VLOOKUP($A11,'8.Non-elective admissions - CCG'!$D$5:$N$215,9,0)*$H11</f>
        <v>17.810284499431589</v>
      </c>
      <c r="Q11" s="384">
        <f>VLOOKUP($A11,'8.Non-elective admissions - CCG'!$D$5:$N$215,10,0)*$H11</f>
        <v>17.424573939832378</v>
      </c>
      <c r="R11" s="384">
        <f>VLOOKUP($A11,'8.Non-elective admissions - CCG'!$D$5:$Q$215,11,0)*$H11</f>
        <v>17.607488225827879</v>
      </c>
      <c r="S11" s="384">
        <f>VLOOKUP($A11,'8.Non-elective admissions - CCG'!$D$5:$Q$215,12,0)*$H11</f>
        <v>17.766544126693535</v>
      </c>
      <c r="T11" s="384">
        <f>VLOOKUP($A11,'8.Non-elective admissions - CCG'!$D$5:$Q$215,13,0)*$H11</f>
        <v>17.810284499431589</v>
      </c>
      <c r="U11" s="384">
        <f>VLOOKUP($A11,'8.Non-elective admissions - CCG'!$D$5:$Q$215,14,0)*$H11</f>
        <v>17.424573939832378</v>
      </c>
    </row>
    <row r="12" spans="1:21">
      <c r="A12" s="395" t="s">
        <v>18</v>
      </c>
      <c r="B12" s="395" t="s">
        <v>17</v>
      </c>
      <c r="C12" s="395" t="s">
        <v>739</v>
      </c>
      <c r="D12" s="395" t="s">
        <v>333</v>
      </c>
      <c r="E12" s="537">
        <f>COUNTIF($D$5:D12,D12)</f>
        <v>1</v>
      </c>
      <c r="F12" s="537" t="str">
        <f t="shared" si="0"/>
        <v>Northamptonshire1</v>
      </c>
      <c r="G12" s="541" t="str">
        <f t="shared" si="1"/>
        <v>NHS Aylesbury Vale CCG</v>
      </c>
      <c r="H12" s="546">
        <v>1.5108342068612542E-3</v>
      </c>
      <c r="I12" s="546">
        <v>0</v>
      </c>
      <c r="J12" s="384">
        <f>VLOOKUP($A12,'8.Non-elective admissions - CCG'!$D$5:$N$215,3,0)*$H12</f>
        <v>5.7079316335218184</v>
      </c>
      <c r="K12" s="384">
        <f>VLOOKUP($A12,'8.Non-elective admissions - CCG'!$D$5:$N$215,4,0)*$H12</f>
        <v>5.4541114867691274</v>
      </c>
      <c r="L12" s="384">
        <f>VLOOKUP($A12,'8.Non-elective admissions - CCG'!$D$5:$N$215,5,0)*$H12</f>
        <v>5.9466434382058964</v>
      </c>
      <c r="M12" s="384">
        <f>VLOOKUP($A12,'8.Non-elective admissions - CCG'!$D$5:$N$215,6,0)*$H12</f>
        <v>6.1007485273057442</v>
      </c>
      <c r="N12" s="384">
        <f>VLOOKUP($A12,'8.Non-elective admissions - CCG'!$D$5:$N$215,7,0)*$H12</f>
        <v>6.6899738679816334</v>
      </c>
      <c r="O12" s="384">
        <f>VLOOKUP($A12,'8.Non-elective admissions - CCG'!$D$5:$N$215,8,0)*$H12</f>
        <v>6.7504072362560841</v>
      </c>
      <c r="P12" s="384">
        <f>VLOOKUP($A12,'8.Non-elective admissions - CCG'!$D$5:$N$215,9,0)*$H12</f>
        <v>6.7670264125315578</v>
      </c>
      <c r="Q12" s="384">
        <f>VLOOKUP($A12,'8.Non-elective admissions - CCG'!$D$5:$N$215,10,0)*$H12</f>
        <v>6.6204754944660156</v>
      </c>
      <c r="R12" s="384">
        <f>VLOOKUP($A12,'8.Non-elective admissions - CCG'!$D$5:$Q$215,11,0)*$H12</f>
        <v>6.6899738679816334</v>
      </c>
      <c r="S12" s="384">
        <f>VLOOKUP($A12,'8.Non-elective admissions - CCG'!$D$5:$Q$215,12,0)*$H12</f>
        <v>6.7504072362560841</v>
      </c>
      <c r="T12" s="384">
        <f>VLOOKUP($A12,'8.Non-elective admissions - CCG'!$D$5:$Q$215,13,0)*$H12</f>
        <v>6.7670264125315578</v>
      </c>
      <c r="U12" s="384">
        <f>VLOOKUP($A12,'8.Non-elective admissions - CCG'!$D$5:$Q$215,14,0)*$H12</f>
        <v>6.6204754944660156</v>
      </c>
    </row>
    <row r="13" spans="1:21">
      <c r="A13" s="395" t="s">
        <v>18</v>
      </c>
      <c r="B13" s="395" t="s">
        <v>17</v>
      </c>
      <c r="C13" s="395" t="s">
        <v>744</v>
      </c>
      <c r="D13" s="395" t="s">
        <v>348</v>
      </c>
      <c r="E13" s="537">
        <f>COUNTIF($D$5:D13,D13)</f>
        <v>1</v>
      </c>
      <c r="F13" s="537" t="str">
        <f t="shared" si="0"/>
        <v>Oxfordshire1</v>
      </c>
      <c r="G13" s="541" t="str">
        <f t="shared" si="1"/>
        <v>NHS Aylesbury Vale CCG</v>
      </c>
      <c r="H13" s="546">
        <v>6.2716844078957071E-2</v>
      </c>
      <c r="I13" s="546">
        <v>1.8012364419643993E-2</v>
      </c>
      <c r="J13" s="384">
        <f>VLOOKUP($A13,'8.Non-elective admissions - CCG'!$D$5:$N$215,3,0)*$H13</f>
        <v>236.94423693029981</v>
      </c>
      <c r="K13" s="384">
        <f>VLOOKUP($A13,'8.Non-elective admissions - CCG'!$D$5:$N$215,4,0)*$H13</f>
        <v>226.40780712503502</v>
      </c>
      <c r="L13" s="384">
        <f>VLOOKUP($A13,'8.Non-elective admissions - CCG'!$D$5:$N$215,5,0)*$H13</f>
        <v>246.85349829477502</v>
      </c>
      <c r="M13" s="384">
        <f>VLOOKUP($A13,'8.Non-elective admissions - CCG'!$D$5:$N$215,6,0)*$H13</f>
        <v>253.25061639082864</v>
      </c>
      <c r="N13" s="384">
        <f>VLOOKUP($A13,'8.Non-elective admissions - CCG'!$D$5:$N$215,7,0)*$H13</f>
        <v>277.71018558162189</v>
      </c>
      <c r="O13" s="384">
        <f>VLOOKUP($A13,'8.Non-elective admissions - CCG'!$D$5:$N$215,8,0)*$H13</f>
        <v>280.21885934478018</v>
      </c>
      <c r="P13" s="384">
        <f>VLOOKUP($A13,'8.Non-elective admissions - CCG'!$D$5:$N$215,9,0)*$H13</f>
        <v>280.90874462964871</v>
      </c>
      <c r="Q13" s="384">
        <f>VLOOKUP($A13,'8.Non-elective admissions - CCG'!$D$5:$N$215,10,0)*$H13</f>
        <v>274.82521075398989</v>
      </c>
      <c r="R13" s="384">
        <f>VLOOKUP($A13,'8.Non-elective admissions - CCG'!$D$5:$Q$215,11,0)*$H13</f>
        <v>277.71018558162189</v>
      </c>
      <c r="S13" s="384">
        <f>VLOOKUP($A13,'8.Non-elective admissions - CCG'!$D$5:$Q$215,12,0)*$H13</f>
        <v>280.21885934478018</v>
      </c>
      <c r="T13" s="384">
        <f>VLOOKUP($A13,'8.Non-elective admissions - CCG'!$D$5:$Q$215,13,0)*$H13</f>
        <v>280.90874462964871</v>
      </c>
      <c r="U13" s="384">
        <f>VLOOKUP($A13,'8.Non-elective admissions - CCG'!$D$5:$Q$215,14,0)*$H13</f>
        <v>274.82521075398989</v>
      </c>
    </row>
    <row r="14" spans="1:21">
      <c r="A14" s="395" t="s">
        <v>25</v>
      </c>
      <c r="B14" s="395" t="s">
        <v>1203</v>
      </c>
      <c r="C14" s="395" t="s">
        <v>650</v>
      </c>
      <c r="D14" s="395" t="s">
        <v>9</v>
      </c>
      <c r="E14" s="537">
        <f>COUNTIF($D$5:D14,D14)</f>
        <v>1</v>
      </c>
      <c r="F14" s="537" t="str">
        <f t="shared" si="0"/>
        <v>Barking and Dagenham1</v>
      </c>
      <c r="G14" s="541" t="str">
        <f t="shared" si="1"/>
        <v>NHS Barking and Dagenham CCG</v>
      </c>
      <c r="H14" s="546">
        <v>0.89943416883859273</v>
      </c>
      <c r="I14" s="546">
        <v>0.89228454987600681</v>
      </c>
      <c r="J14" s="384">
        <f>VLOOKUP($A14,'8.Non-elective admissions - CCG'!$D$5:$N$215,3,0)*$H14</f>
        <v>4665.3650337657809</v>
      </c>
      <c r="K14" s="384">
        <f>VLOOKUP($A14,'8.Non-elective admissions - CCG'!$D$5:$N$215,4,0)*$H14</f>
        <v>4430.6127156989078</v>
      </c>
      <c r="L14" s="384">
        <f>VLOOKUP($A14,'8.Non-elective admissions - CCG'!$D$5:$N$215,5,0)*$H14</f>
        <v>4460.2940432705809</v>
      </c>
      <c r="M14" s="384">
        <f>VLOOKUP($A14,'8.Non-elective admissions - CCG'!$D$5:$N$215,6,0)*$H14</f>
        <v>4798.4812907538926</v>
      </c>
      <c r="N14" s="384">
        <f>VLOOKUP($A14,'8.Non-elective admissions - CCG'!$D$5:$N$215,7,0)*$H14</f>
        <v>4684.3378780100948</v>
      </c>
      <c r="O14" s="384">
        <f>VLOOKUP($A14,'8.Non-elective admissions - CCG'!$D$5:$N$215,8,0)*$H14</f>
        <v>4443.7871776869715</v>
      </c>
      <c r="P14" s="384">
        <f>VLOOKUP($A14,'8.Non-elective admissions - CCG'!$D$5:$N$215,9,0)*$H14</f>
        <v>4475.1232842424743</v>
      </c>
      <c r="Q14" s="384">
        <f>VLOOKUP($A14,'8.Non-elective admissions - CCG'!$D$5:$N$215,10,0)*$H14</f>
        <v>4822.585406931431</v>
      </c>
      <c r="R14" s="384">
        <f>VLOOKUP($A14,'8.Non-elective admissions - CCG'!$D$5:$Q$215,11,0)*$H14</f>
        <v>4796.2935533574973</v>
      </c>
      <c r="S14" s="384">
        <f>VLOOKUP($A14,'8.Non-elective admissions - CCG'!$D$5:$Q$215,12,0)*$H14</f>
        <v>4549.9936912606727</v>
      </c>
      <c r="T14" s="384">
        <f>VLOOKUP($A14,'8.Non-elective admissions - CCG'!$D$5:$Q$215,13,0)*$H14</f>
        <v>4582.0787306639149</v>
      </c>
      <c r="U14" s="384">
        <f>VLOOKUP($A14,'8.Non-elective admissions - CCG'!$D$5:$Q$215,14,0)*$H14</f>
        <v>4937.8451981480985</v>
      </c>
    </row>
    <row r="15" spans="1:21">
      <c r="A15" s="395" t="s">
        <v>25</v>
      </c>
      <c r="B15" s="395" t="s">
        <v>1203</v>
      </c>
      <c r="C15" s="395" t="s">
        <v>703</v>
      </c>
      <c r="D15" s="395" t="s">
        <v>219</v>
      </c>
      <c r="E15" s="537">
        <f>COUNTIF($D$5:D15,D15)</f>
        <v>1</v>
      </c>
      <c r="F15" s="537" t="str">
        <f t="shared" si="0"/>
        <v>Havering1</v>
      </c>
      <c r="G15" s="541" t="str">
        <f t="shared" si="1"/>
        <v>NHS Barking and Dagenham CCG</v>
      </c>
      <c r="H15" s="546">
        <v>3.8338936741238817E-2</v>
      </c>
      <c r="I15" s="546">
        <v>3.1798073793710295E-2</v>
      </c>
      <c r="J15" s="384">
        <f>VLOOKUP($A15,'8.Non-elective admissions - CCG'!$D$5:$N$215,3,0)*$H15</f>
        <v>198.86406487680574</v>
      </c>
      <c r="K15" s="384">
        <f>VLOOKUP($A15,'8.Non-elective admissions - CCG'!$D$5:$N$215,4,0)*$H15</f>
        <v>188.85760238734241</v>
      </c>
      <c r="L15" s="384">
        <f>VLOOKUP($A15,'8.Non-elective admissions - CCG'!$D$5:$N$215,5,0)*$H15</f>
        <v>190.12278729980329</v>
      </c>
      <c r="M15" s="384">
        <f>VLOOKUP($A15,'8.Non-elective admissions - CCG'!$D$5:$N$215,6,0)*$H15</f>
        <v>204.53822751450909</v>
      </c>
      <c r="N15" s="384">
        <f>VLOOKUP($A15,'8.Non-elective admissions - CCG'!$D$5:$N$215,7,0)*$H15</f>
        <v>199.67279407621277</v>
      </c>
      <c r="O15" s="384">
        <f>VLOOKUP($A15,'8.Non-elective admissions - CCG'!$D$5:$N$215,8,0)*$H15</f>
        <v>189.41917196325974</v>
      </c>
      <c r="P15" s="384">
        <f>VLOOKUP($A15,'8.Non-elective admissions - CCG'!$D$5:$N$215,9,0)*$H15</f>
        <v>190.75489285153714</v>
      </c>
      <c r="Q15" s="384">
        <f>VLOOKUP($A15,'8.Non-elective admissions - CCG'!$D$5:$N$215,10,0)*$H15</f>
        <v>205.56568034802487</v>
      </c>
      <c r="R15" s="384">
        <f>VLOOKUP($A15,'8.Non-elective admissions - CCG'!$D$5:$Q$215,11,0)*$H15</f>
        <v>204.44497385731799</v>
      </c>
      <c r="S15" s="384">
        <f>VLOOKUP($A15,'8.Non-elective admissions - CCG'!$D$5:$Q$215,12,0)*$H15</f>
        <v>193.94629017433178</v>
      </c>
      <c r="T15" s="384">
        <f>VLOOKUP($A15,'8.Non-elective admissions - CCG'!$D$5:$Q$215,13,0)*$H15</f>
        <v>195.31393478762175</v>
      </c>
      <c r="U15" s="384">
        <f>VLOOKUP($A15,'8.Non-elective admissions - CCG'!$D$5:$Q$215,14,0)*$H15</f>
        <v>210.4787001079593</v>
      </c>
    </row>
    <row r="16" spans="1:21">
      <c r="A16" s="395" t="s">
        <v>25</v>
      </c>
      <c r="B16" s="395" t="s">
        <v>1203</v>
      </c>
      <c r="C16" s="395" t="s">
        <v>732</v>
      </c>
      <c r="D16" s="395" t="s">
        <v>312</v>
      </c>
      <c r="E16" s="537">
        <f>COUNTIF($D$5:D16,D16)</f>
        <v>1</v>
      </c>
      <c r="F16" s="537" t="str">
        <f t="shared" si="0"/>
        <v>Newham1</v>
      </c>
      <c r="G16" s="541" t="str">
        <f t="shared" si="1"/>
        <v>NHS Barking and Dagenham CCG</v>
      </c>
      <c r="H16" s="546">
        <v>5.2174671304415221E-3</v>
      </c>
      <c r="I16" s="546">
        <v>2.9743986301748178E-3</v>
      </c>
      <c r="J16" s="384">
        <f>VLOOKUP($A16,'8.Non-elective admissions - CCG'!$D$5:$N$215,3,0)*$H16</f>
        <v>27.063002005600175</v>
      </c>
      <c r="K16" s="384">
        <f>VLOOKUP($A16,'8.Non-elective admissions - CCG'!$D$5:$N$215,4,0)*$H16</f>
        <v>25.701243084554939</v>
      </c>
      <c r="L16" s="384">
        <f>VLOOKUP($A16,'8.Non-elective admissions - CCG'!$D$5:$N$215,5,0)*$H16</f>
        <v>25.873419499859509</v>
      </c>
      <c r="M16" s="384">
        <f>VLOOKUP($A16,'8.Non-elective admissions - CCG'!$D$5:$N$215,6,0)*$H16</f>
        <v>27.835187140905521</v>
      </c>
      <c r="N16" s="384">
        <f>VLOOKUP($A16,'8.Non-elective admissions - CCG'!$D$5:$N$215,7,0)*$H16</f>
        <v>27.173060300743131</v>
      </c>
      <c r="O16" s="384">
        <f>VLOOKUP($A16,'8.Non-elective admissions - CCG'!$D$5:$N$215,8,0)*$H16</f>
        <v>25.777665934348086</v>
      </c>
      <c r="P16" s="384">
        <f>VLOOKUP($A16,'8.Non-elective admissions - CCG'!$D$5:$N$215,9,0)*$H16</f>
        <v>25.959441445679239</v>
      </c>
      <c r="Q16" s="384">
        <f>VLOOKUP($A16,'8.Non-elective admissions - CCG'!$D$5:$N$215,10,0)*$H16</f>
        <v>27.975011086027646</v>
      </c>
      <c r="R16" s="384">
        <f>VLOOKUP($A16,'8.Non-elective admissions - CCG'!$D$5:$Q$215,11,0)*$H16</f>
        <v>27.822496442296117</v>
      </c>
      <c r="S16" s="384">
        <f>VLOOKUP($A16,'8.Non-elective admissions - CCG'!$D$5:$Q$215,12,0)*$H16</f>
        <v>26.393752150335523</v>
      </c>
      <c r="T16" s="384">
        <f>VLOOKUP($A16,'8.Non-elective admissions - CCG'!$D$5:$Q$215,13,0)*$H16</f>
        <v>26.579872095813574</v>
      </c>
      <c r="U16" s="384">
        <f>VLOOKUP($A16,'8.Non-elective admissions - CCG'!$D$5:$Q$215,14,0)*$H16</f>
        <v>28.643613850931537</v>
      </c>
    </row>
    <row r="17" spans="1:21">
      <c r="A17" s="395" t="s">
        <v>25</v>
      </c>
      <c r="B17" s="395" t="s">
        <v>1203</v>
      </c>
      <c r="C17" s="395" t="s">
        <v>749</v>
      </c>
      <c r="D17" s="395" t="s">
        <v>363</v>
      </c>
      <c r="E17" s="537">
        <f>COUNTIF($D$5:D17,D17)</f>
        <v>1</v>
      </c>
      <c r="F17" s="537" t="str">
        <f t="shared" si="0"/>
        <v>Redbridge1</v>
      </c>
      <c r="G17" s="541" t="str">
        <f t="shared" si="1"/>
        <v>NHS Barking and Dagenham CCG</v>
      </c>
      <c r="H17" s="546">
        <v>5.5774093846586117E-2</v>
      </c>
      <c r="I17" s="546">
        <v>3.7515437278216414E-2</v>
      </c>
      <c r="J17" s="384">
        <f>VLOOKUP($A17,'8.Non-elective admissions - CCG'!$D$5:$N$215,3,0)*$H17</f>
        <v>289.3002247822422</v>
      </c>
      <c r="K17" s="384">
        <f>VLOOKUP($A17,'8.Non-elective admissions - CCG'!$D$5:$N$215,4,0)*$H17</f>
        <v>274.7431862882832</v>
      </c>
      <c r="L17" s="384">
        <f>VLOOKUP($A17,'8.Non-elective admissions - CCG'!$D$5:$N$215,5,0)*$H17</f>
        <v>276.58373138522057</v>
      </c>
      <c r="M17" s="384">
        <f>VLOOKUP($A17,'8.Non-elective admissions - CCG'!$D$5:$N$215,6,0)*$H17</f>
        <v>297.55479067153692</v>
      </c>
      <c r="N17" s="384">
        <f>VLOOKUP($A17,'8.Non-elective admissions - CCG'!$D$5:$N$215,7,0)*$H17</f>
        <v>290.47673467266083</v>
      </c>
      <c r="O17" s="384">
        <f>VLOOKUP($A17,'8.Non-elective admissions - CCG'!$D$5:$N$215,8,0)*$H17</f>
        <v>275.56013732790115</v>
      </c>
      <c r="P17" s="384">
        <f>VLOOKUP($A17,'8.Non-elective admissions - CCG'!$D$5:$N$215,9,0)*$H17</f>
        <v>277.50329560269739</v>
      </c>
      <c r="Q17" s="384">
        <f>VLOOKUP($A17,'8.Non-elective admissions - CCG'!$D$5:$N$215,10,0)*$H17</f>
        <v>299.04949176735033</v>
      </c>
      <c r="R17" s="384">
        <f>VLOOKUP($A17,'8.Non-elective admissions - CCG'!$D$5:$Q$215,11,0)*$H17</f>
        <v>297.41912863524163</v>
      </c>
      <c r="S17" s="384">
        <f>VLOOKUP($A17,'8.Non-elective admissions - CCG'!$D$5:$Q$215,12,0)*$H17</f>
        <v>282.14602461171114</v>
      </c>
      <c r="T17" s="384">
        <f>VLOOKUP($A17,'8.Non-elective admissions - CCG'!$D$5:$Q$215,13,0)*$H17</f>
        <v>284.13562436313993</v>
      </c>
      <c r="U17" s="384">
        <f>VLOOKUP($A17,'8.Non-elective admissions - CCG'!$D$5:$Q$215,14,0)*$H17</f>
        <v>306.19677462003233</v>
      </c>
    </row>
    <row r="18" spans="1:21">
      <c r="A18" s="395" t="s">
        <v>25</v>
      </c>
      <c r="B18" s="395" t="s">
        <v>1203</v>
      </c>
      <c r="C18" s="395" t="s">
        <v>780</v>
      </c>
      <c r="D18" s="395" t="s">
        <v>456</v>
      </c>
      <c r="E18" s="537">
        <f>COUNTIF($D$5:D18,D18)</f>
        <v>1</v>
      </c>
      <c r="F18" s="537" t="str">
        <f t="shared" si="0"/>
        <v>Thurrock1</v>
      </c>
      <c r="G18" s="541" t="str">
        <f t="shared" si="1"/>
        <v>NHS Barking and Dagenham CCG</v>
      </c>
      <c r="H18" s="546">
        <v>1.2353334431407504E-3</v>
      </c>
      <c r="I18" s="546">
        <v>1.5426217310030668E-3</v>
      </c>
      <c r="J18" s="384">
        <f>VLOOKUP($A18,'8.Non-elective admissions - CCG'!$D$5:$N$215,3,0)*$H18</f>
        <v>6.4076745695710722</v>
      </c>
      <c r="K18" s="384">
        <f>VLOOKUP($A18,'8.Non-elective admissions - CCG'!$D$5:$N$215,4,0)*$H18</f>
        <v>6.0852525409113358</v>
      </c>
      <c r="L18" s="384">
        <f>VLOOKUP($A18,'8.Non-elective admissions - CCG'!$D$5:$N$215,5,0)*$H18</f>
        <v>6.1260185445349808</v>
      </c>
      <c r="M18" s="384">
        <f>VLOOKUP($A18,'8.Non-elective admissions - CCG'!$D$5:$N$215,6,0)*$H18</f>
        <v>6.5905039191559034</v>
      </c>
      <c r="N18" s="384">
        <f>VLOOKUP($A18,'8.Non-elective admissions - CCG'!$D$5:$N$215,7,0)*$H18</f>
        <v>6.4337329402873715</v>
      </c>
      <c r="O18" s="384">
        <f>VLOOKUP($A18,'8.Non-elective admissions - CCG'!$D$5:$N$215,8,0)*$H18</f>
        <v>6.103347087519742</v>
      </c>
      <c r="P18" s="384">
        <f>VLOOKUP($A18,'8.Non-elective admissions - CCG'!$D$5:$N$215,9,0)*$H18</f>
        <v>6.146385857612076</v>
      </c>
      <c r="Q18" s="384">
        <f>VLOOKUP($A18,'8.Non-elective admissions - CCG'!$D$5:$N$215,10,0)*$H18</f>
        <v>6.6236098671653201</v>
      </c>
      <c r="R18" s="384">
        <f>VLOOKUP($A18,'8.Non-elective admissions - CCG'!$D$5:$Q$215,11,0)*$H18</f>
        <v>6.5874991576467137</v>
      </c>
      <c r="S18" s="384">
        <f>VLOOKUP($A18,'8.Non-elective admissions - CCG'!$D$5:$Q$215,12,0)*$H18</f>
        <v>6.2492170829485216</v>
      </c>
      <c r="T18" s="384">
        <f>VLOOKUP($A18,'8.Non-elective admissions - CCG'!$D$5:$Q$215,13,0)*$H18</f>
        <v>6.2932844795101781</v>
      </c>
      <c r="U18" s="384">
        <f>VLOOKUP($A18,'8.Non-elective admissions - CCG'!$D$5:$Q$215,14,0)*$H18</f>
        <v>6.781914142978219</v>
      </c>
    </row>
    <row r="19" spans="1:21">
      <c r="A19" s="395" t="s">
        <v>31</v>
      </c>
      <c r="B19" s="395" t="s">
        <v>30</v>
      </c>
      <c r="C19" s="395" t="s">
        <v>651</v>
      </c>
      <c r="D19" s="395" t="s">
        <v>16</v>
      </c>
      <c r="E19" s="537">
        <f>COUNTIF($D$5:D19,D19)</f>
        <v>1</v>
      </c>
      <c r="F19" s="537" t="str">
        <f t="shared" si="0"/>
        <v>Barnet1</v>
      </c>
      <c r="G19" s="541" t="str">
        <f t="shared" si="1"/>
        <v>NHS Barnet CCG</v>
      </c>
      <c r="H19" s="546">
        <v>0.9124546397096942</v>
      </c>
      <c r="I19" s="546">
        <v>0.92801537443551929</v>
      </c>
      <c r="J19" s="384">
        <f>VLOOKUP($A19,'8.Non-elective admissions - CCG'!$D$5:$N$215,3,0)*$H19</f>
        <v>6641.7573224468642</v>
      </c>
      <c r="K19" s="384">
        <f>VLOOKUP($A19,'8.Non-elective admissions - CCG'!$D$5:$N$215,4,0)*$H19</f>
        <v>6268.5633748055989</v>
      </c>
      <c r="L19" s="384">
        <f>VLOOKUP($A19,'8.Non-elective admissions - CCG'!$D$5:$N$215,5,0)*$H19</f>
        <v>6789.5749740798346</v>
      </c>
      <c r="M19" s="384">
        <f>VLOOKUP($A19,'8.Non-elective admissions - CCG'!$D$5:$N$215,6,0)*$H19</f>
        <v>6885.3827112493527</v>
      </c>
      <c r="N19" s="384">
        <f>VLOOKUP($A19,'8.Non-elective admissions - CCG'!$D$5:$N$215,7,0)*$H19</f>
        <v>6576.1773825816499</v>
      </c>
      <c r="O19" s="384">
        <f>VLOOKUP($A19,'8.Non-elective admissions - CCG'!$D$5:$N$215,8,0)*$H19</f>
        <v>6309.7783204572506</v>
      </c>
      <c r="P19" s="384">
        <f>VLOOKUP($A19,'8.Non-elective admissions - CCG'!$D$5:$N$215,9,0)*$H19</f>
        <v>7102.4759099317398</v>
      </c>
      <c r="Q19" s="384">
        <f>VLOOKUP($A19,'8.Non-elective admissions - CCG'!$D$5:$N$215,10,0)*$H19</f>
        <v>7226.2214818971679</v>
      </c>
      <c r="R19" s="384">
        <f>VLOOKUP($A19,'8.Non-elective admissions - CCG'!$D$5:$Q$215,11,0)*$H19</f>
        <v>6565.9961122468121</v>
      </c>
      <c r="S19" s="384">
        <f>VLOOKUP($A19,'8.Non-elective admissions - CCG'!$D$5:$Q$215,12,0)*$H19</f>
        <v>6295.0416261642486</v>
      </c>
      <c r="T19" s="384">
        <f>VLOOKUP($A19,'8.Non-elective admissions - CCG'!$D$5:$Q$215,13,0)*$H19</f>
        <v>7101.2943444794191</v>
      </c>
      <c r="U19" s="384">
        <f>VLOOKUP($A19,'8.Non-elective admissions - CCG'!$D$5:$Q$215,14,0)*$H19</f>
        <v>7227.1559656828831</v>
      </c>
    </row>
    <row r="20" spans="1:21">
      <c r="A20" s="395" t="s">
        <v>31</v>
      </c>
      <c r="B20" s="395" t="s">
        <v>30</v>
      </c>
      <c r="C20" s="395" t="s">
        <v>663</v>
      </c>
      <c r="D20" s="395" t="s">
        <v>72</v>
      </c>
      <c r="E20" s="537">
        <f>COUNTIF($D$5:D20,D20)</f>
        <v>1</v>
      </c>
      <c r="F20" s="537" t="str">
        <f t="shared" si="0"/>
        <v>Brent1</v>
      </c>
      <c r="G20" s="541" t="str">
        <f t="shared" si="1"/>
        <v>NHS Barnet CCG</v>
      </c>
      <c r="H20" s="546">
        <v>1.8229652669777087E-2</v>
      </c>
      <c r="I20" s="546">
        <v>1.9259153780221649E-2</v>
      </c>
      <c r="J20" s="384">
        <f>VLOOKUP($A20,'8.Non-elective admissions - CCG'!$D$5:$N$215,3,0)*$H20</f>
        <v>132.69364178330741</v>
      </c>
      <c r="K20" s="384">
        <f>VLOOKUP($A20,'8.Non-elective admissions - CCG'!$D$5:$N$215,4,0)*$H20</f>
        <v>125.23771384136859</v>
      </c>
      <c r="L20" s="384">
        <f>VLOOKUP($A20,'8.Non-elective admissions - CCG'!$D$5:$N$215,5,0)*$H20</f>
        <v>135.64684551581129</v>
      </c>
      <c r="M20" s="384">
        <f>VLOOKUP($A20,'8.Non-elective admissions - CCG'!$D$5:$N$215,6,0)*$H20</f>
        <v>137.5609590461379</v>
      </c>
      <c r="N20" s="384">
        <f>VLOOKUP($A20,'8.Non-elective admissions - CCG'!$D$5:$N$215,7,0)*$H20</f>
        <v>131.38344018662522</v>
      </c>
      <c r="O20" s="384">
        <f>VLOOKUP($A20,'8.Non-elective admissions - CCG'!$D$5:$N$215,8,0)*$H20</f>
        <v>126.06113465741309</v>
      </c>
      <c r="P20" s="384">
        <f>VLOOKUP($A20,'8.Non-elective admissions - CCG'!$D$5:$N$215,9,0)*$H20</f>
        <v>141.89819778296973</v>
      </c>
      <c r="Q20" s="384">
        <f>VLOOKUP($A20,'8.Non-elective admissions - CCG'!$D$5:$N$215,10,0)*$H20</f>
        <v>144.37047278512259</v>
      </c>
      <c r="R20" s="384">
        <f>VLOOKUP($A20,'8.Non-elective admissions - CCG'!$D$5:$Q$215,11,0)*$H20</f>
        <v>131.18003169499846</v>
      </c>
      <c r="S20" s="384">
        <f>VLOOKUP($A20,'8.Non-elective admissions - CCG'!$D$5:$Q$215,12,0)*$H20</f>
        <v>125.76671474131996</v>
      </c>
      <c r="T20" s="384">
        <f>VLOOKUP($A20,'8.Non-elective admissions - CCG'!$D$5:$Q$215,13,0)*$H20</f>
        <v>141.87459164753568</v>
      </c>
      <c r="U20" s="384">
        <f>VLOOKUP($A20,'8.Non-elective admissions - CCG'!$D$5:$Q$215,14,0)*$H20</f>
        <v>144.38914255137479</v>
      </c>
    </row>
    <row r="21" spans="1:21">
      <c r="A21" s="395" t="s">
        <v>31</v>
      </c>
      <c r="B21" s="395" t="s">
        <v>30</v>
      </c>
      <c r="C21" s="395" t="s">
        <v>671</v>
      </c>
      <c r="D21" s="395" t="s">
        <v>102</v>
      </c>
      <c r="E21" s="537">
        <f>COUNTIF($D$5:D21,D21)</f>
        <v>1</v>
      </c>
      <c r="F21" s="537" t="str">
        <f t="shared" si="0"/>
        <v>Camden1</v>
      </c>
      <c r="G21" s="541" t="str">
        <f t="shared" si="1"/>
        <v>NHS Barnet CCG</v>
      </c>
      <c r="H21" s="546">
        <v>1.1638154484188699E-3</v>
      </c>
      <c r="I21" s="546">
        <v>1.8369643039787254E-3</v>
      </c>
      <c r="J21" s="384">
        <f>VLOOKUP($A21,'8.Non-elective admissions - CCG'!$D$5:$N$215,3,0)*$H21</f>
        <v>8.4714126490409534</v>
      </c>
      <c r="K21" s="384">
        <f>VLOOKUP($A21,'8.Non-elective admissions - CCG'!$D$5:$N$215,4,0)*$H21</f>
        <v>7.9954121306376358</v>
      </c>
      <c r="L21" s="384">
        <f>VLOOKUP($A21,'8.Non-elective admissions - CCG'!$D$5:$N$215,5,0)*$H21</f>
        <v>8.6599507516848107</v>
      </c>
      <c r="M21" s="384">
        <f>VLOOKUP($A21,'8.Non-elective admissions - CCG'!$D$5:$N$215,6,0)*$H21</f>
        <v>8.7821513737687926</v>
      </c>
      <c r="N21" s="384">
        <f>VLOOKUP($A21,'8.Non-elective admissions - CCG'!$D$5:$N$215,7,0)*$H21</f>
        <v>8.3877669051321941</v>
      </c>
      <c r="O21" s="384">
        <f>VLOOKUP($A21,'8.Non-elective admissions - CCG'!$D$5:$N$215,8,0)*$H21</f>
        <v>8.047980870350985</v>
      </c>
      <c r="P21" s="384">
        <f>VLOOKUP($A21,'8.Non-elective admissions - CCG'!$D$5:$N$215,9,0)*$H21</f>
        <v>9.0590488844807933</v>
      </c>
      <c r="Q21" s="384">
        <f>VLOOKUP($A21,'8.Non-elective admissions - CCG'!$D$5:$N$215,10,0)*$H21</f>
        <v>9.2168835888696208</v>
      </c>
      <c r="R21" s="384">
        <f>VLOOKUP($A21,'8.Non-elective admissions - CCG'!$D$5:$Q$215,11,0)*$H21</f>
        <v>8.3747809229424579</v>
      </c>
      <c r="S21" s="384">
        <f>VLOOKUP($A21,'8.Non-elective admissions - CCG'!$D$5:$Q$215,12,0)*$H21</f>
        <v>8.0291845469717984</v>
      </c>
      <c r="T21" s="384">
        <f>VLOOKUP($A21,'8.Non-elective admissions - CCG'!$D$5:$Q$215,13,0)*$H21</f>
        <v>9.0575418242206052</v>
      </c>
      <c r="U21" s="384">
        <f>VLOOKUP($A21,'8.Non-elective admissions - CCG'!$D$5:$Q$215,14,0)*$H21</f>
        <v>9.2180755020001826</v>
      </c>
    </row>
    <row r="22" spans="1:21">
      <c r="A22" s="395" t="s">
        <v>31</v>
      </c>
      <c r="B22" s="395" t="s">
        <v>30</v>
      </c>
      <c r="C22" s="395" t="s">
        <v>691</v>
      </c>
      <c r="D22" s="395" t="s">
        <v>176</v>
      </c>
      <c r="E22" s="537">
        <f>COUNTIF($D$5:D22,D22)</f>
        <v>1</v>
      </c>
      <c r="F22" s="537" t="str">
        <f t="shared" si="0"/>
        <v>Enfield1</v>
      </c>
      <c r="G22" s="541" t="str">
        <f t="shared" si="1"/>
        <v>NHS Barnet CCG</v>
      </c>
      <c r="H22" s="546">
        <v>1.1565578019699327E-2</v>
      </c>
      <c r="I22" s="546">
        <v>1.3649392323669855E-2</v>
      </c>
      <c r="J22" s="384">
        <f>VLOOKUP($A22,'8.Non-elective admissions - CCG'!$D$5:$N$215,3,0)*$H22</f>
        <v>84.185842405391398</v>
      </c>
      <c r="K22" s="384">
        <f>VLOOKUP($A22,'8.Non-elective admissions - CCG'!$D$5:$N$215,4,0)*$H22</f>
        <v>79.455520995334382</v>
      </c>
      <c r="L22" s="384">
        <f>VLOOKUP($A22,'8.Non-elective admissions - CCG'!$D$5:$N$215,5,0)*$H22</f>
        <v>86.059466044582692</v>
      </c>
      <c r="M22" s="384">
        <f>VLOOKUP($A22,'8.Non-elective admissions - CCG'!$D$5:$N$215,6,0)*$H22</f>
        <v>87.273851736651125</v>
      </c>
      <c r="N22" s="384">
        <f>VLOOKUP($A22,'8.Non-elective admissions - CCG'!$D$5:$N$215,7,0)*$H22</f>
        <v>83.35460118195958</v>
      </c>
      <c r="O22" s="384">
        <f>VLOOKUP($A22,'8.Non-elective admissions - CCG'!$D$5:$N$215,8,0)*$H22</f>
        <v>79.977930163710681</v>
      </c>
      <c r="P22" s="384">
        <f>VLOOKUP($A22,'8.Non-elective admissions - CCG'!$D$5:$N$215,9,0)*$H22</f>
        <v>90.025559292991758</v>
      </c>
      <c r="Q22" s="384">
        <f>VLOOKUP($A22,'8.Non-elective admissions - CCG'!$D$5:$N$215,10,0)*$H22</f>
        <v>91.594063638165366</v>
      </c>
      <c r="R22" s="384">
        <f>VLOOKUP($A22,'8.Non-elective admissions - CCG'!$D$5:$Q$215,11,0)*$H22</f>
        <v>83.225551176323492</v>
      </c>
      <c r="S22" s="384">
        <f>VLOOKUP($A22,'8.Non-elective admissions - CCG'!$D$5:$Q$215,12,0)*$H22</f>
        <v>79.791139083715294</v>
      </c>
      <c r="T22" s="384">
        <f>VLOOKUP($A22,'8.Non-elective admissions - CCG'!$D$5:$Q$215,13,0)*$H22</f>
        <v>90.010582671876051</v>
      </c>
      <c r="U22" s="384">
        <f>VLOOKUP($A22,'8.Non-elective admissions - CCG'!$D$5:$Q$215,14,0)*$H22</f>
        <v>91.605908440812513</v>
      </c>
    </row>
    <row r="23" spans="1:21">
      <c r="A23" s="395" t="s">
        <v>31</v>
      </c>
      <c r="B23" s="395" t="s">
        <v>30</v>
      </c>
      <c r="C23" s="395" t="s">
        <v>700</v>
      </c>
      <c r="D23" s="395" t="s">
        <v>209</v>
      </c>
      <c r="E23" s="537">
        <f>COUNTIF($D$5:D23,D23)</f>
        <v>1</v>
      </c>
      <c r="F23" s="537" t="str">
        <f t="shared" si="0"/>
        <v>Haringey1</v>
      </c>
      <c r="G23" s="541" t="str">
        <f t="shared" si="1"/>
        <v>NHS Barnet CCG</v>
      </c>
      <c r="H23" s="546">
        <v>1.1415241057542769E-2</v>
      </c>
      <c r="I23" s="546">
        <v>1.6146299256478317E-2</v>
      </c>
      <c r="J23" s="384">
        <f>VLOOKUP($A23,'8.Non-elective admissions - CCG'!$D$5:$N$215,3,0)*$H23</f>
        <v>83.091539657853815</v>
      </c>
      <c r="K23" s="384">
        <f>VLOOKUP($A23,'8.Non-elective admissions - CCG'!$D$5:$N$215,4,0)*$H23</f>
        <v>78.42270606531882</v>
      </c>
      <c r="L23" s="384">
        <f>VLOOKUP($A23,'8.Non-elective admissions - CCG'!$D$5:$N$215,5,0)*$H23</f>
        <v>84.940808709175741</v>
      </c>
      <c r="M23" s="384">
        <f>VLOOKUP($A23,'8.Non-elective admissions - CCG'!$D$5:$N$215,6,0)*$H23</f>
        <v>86.139409020217727</v>
      </c>
      <c r="N23" s="384">
        <f>VLOOKUP($A23,'8.Non-elective admissions - CCG'!$D$5:$N$215,7,0)*$H23</f>
        <v>82.271103452566109</v>
      </c>
      <c r="O23" s="384">
        <f>VLOOKUP($A23,'8.Non-elective admissions - CCG'!$D$5:$N$215,8,0)*$H23</f>
        <v>78.93832461698382</v>
      </c>
      <c r="P23" s="384">
        <f>VLOOKUP($A23,'8.Non-elective admissions - CCG'!$D$5:$N$215,9,0)*$H23</f>
        <v>88.855348078515391</v>
      </c>
      <c r="Q23" s="384">
        <f>VLOOKUP($A23,'8.Non-elective admissions - CCG'!$D$5:$N$215,10,0)*$H23</f>
        <v>90.403463976351475</v>
      </c>
      <c r="R23" s="384">
        <f>VLOOKUP($A23,'8.Non-elective admissions - CCG'!$D$5:$Q$215,11,0)*$H23</f>
        <v>82.143730923471239</v>
      </c>
      <c r="S23" s="384">
        <f>VLOOKUP($A23,'8.Non-elective admissions - CCG'!$D$5:$Q$215,12,0)*$H23</f>
        <v>78.753961569852564</v>
      </c>
      <c r="T23" s="384">
        <f>VLOOKUP($A23,'8.Non-elective admissions - CCG'!$D$5:$Q$215,13,0)*$H23</f>
        <v>88.840566133335301</v>
      </c>
      <c r="U23" s="384">
        <f>VLOOKUP($A23,'8.Non-elective admissions - CCG'!$D$5:$Q$215,14,0)*$H23</f>
        <v>90.415154812491778</v>
      </c>
    </row>
    <row r="24" spans="1:21">
      <c r="A24" s="395" t="s">
        <v>31</v>
      </c>
      <c r="B24" s="395" t="s">
        <v>30</v>
      </c>
      <c r="C24" s="395" t="s">
        <v>701</v>
      </c>
      <c r="D24" s="395" t="s">
        <v>212</v>
      </c>
      <c r="E24" s="537">
        <f>COUNTIF($D$5:D24,D24)</f>
        <v>1</v>
      </c>
      <c r="F24" s="537" t="str">
        <f t="shared" si="0"/>
        <v>Harrow1</v>
      </c>
      <c r="G24" s="541" t="str">
        <f t="shared" si="1"/>
        <v>NHS Barnet CCG</v>
      </c>
      <c r="H24" s="546">
        <v>4.3802488335925351E-2</v>
      </c>
      <c r="I24" s="546">
        <v>6.2960354983290306E-2</v>
      </c>
      <c r="J24" s="384">
        <f>VLOOKUP($A24,'8.Non-elective admissions - CCG'!$D$5:$N$215,3,0)*$H24</f>
        <v>318.83831259720063</v>
      </c>
      <c r="K24" s="384">
        <f>VLOOKUP($A24,'8.Non-elective admissions - CCG'!$D$5:$N$215,4,0)*$H24</f>
        <v>300.92309486780715</v>
      </c>
      <c r="L24" s="384">
        <f>VLOOKUP($A24,'8.Non-elective admissions - CCG'!$D$5:$N$215,5,0)*$H24</f>
        <v>325.93431570762056</v>
      </c>
      <c r="M24" s="384">
        <f>VLOOKUP($A24,'8.Non-elective admissions - CCG'!$D$5:$N$215,6,0)*$H24</f>
        <v>330.53357698289267</v>
      </c>
      <c r="N24" s="384">
        <f>VLOOKUP($A24,'8.Non-elective admissions - CCG'!$D$5:$N$215,7,0)*$H24</f>
        <v>315.69014015552102</v>
      </c>
      <c r="O24" s="384">
        <f>VLOOKUP($A24,'8.Non-elective admissions - CCG'!$D$5:$N$215,8,0)*$H24</f>
        <v>302.90162300236369</v>
      </c>
      <c r="P24" s="384">
        <f>VLOOKUP($A24,'8.Non-elective admissions - CCG'!$D$5:$N$215,9,0)*$H24</f>
        <v>340.95516057648314</v>
      </c>
      <c r="Q24" s="384">
        <f>VLOOKUP($A24,'8.Non-elective admissions - CCG'!$D$5:$N$215,10,0)*$H24</f>
        <v>346.89558077574105</v>
      </c>
      <c r="R24" s="384">
        <f>VLOOKUP($A24,'8.Non-elective admissions - CCG'!$D$5:$Q$215,11,0)*$H24</f>
        <v>315.20138711983208</v>
      </c>
      <c r="S24" s="384">
        <f>VLOOKUP($A24,'8.Non-elective admissions - CCG'!$D$5:$Q$215,12,0)*$H24</f>
        <v>302.19418632355553</v>
      </c>
      <c r="T24" s="384">
        <f>VLOOKUP($A24,'8.Non-elective admissions - CCG'!$D$5:$Q$215,13,0)*$H24</f>
        <v>340.89843939310475</v>
      </c>
      <c r="U24" s="384">
        <f>VLOOKUP($A24,'8.Non-elective admissions - CCG'!$D$5:$Q$215,14,0)*$H24</f>
        <v>346.94044077572624</v>
      </c>
    </row>
    <row r="25" spans="1:21">
      <c r="A25" s="395" t="s">
        <v>31</v>
      </c>
      <c r="B25" s="395" t="s">
        <v>30</v>
      </c>
      <c r="C25" s="395" t="s">
        <v>705</v>
      </c>
      <c r="D25" s="395" t="s">
        <v>227</v>
      </c>
      <c r="E25" s="537">
        <f>COUNTIF($D$5:D25,D25)</f>
        <v>2</v>
      </c>
      <c r="F25" s="537" t="str">
        <f t="shared" si="0"/>
        <v>Hertfordshire2</v>
      </c>
      <c r="G25" s="541" t="str">
        <f t="shared" si="1"/>
        <v>NHS Barnet CCG</v>
      </c>
      <c r="H25" s="546">
        <v>1.3685847589424572E-3</v>
      </c>
      <c r="I25" s="546">
        <v>0</v>
      </c>
      <c r="J25" s="384">
        <f>VLOOKUP($A25,'8.Non-elective admissions - CCG'!$D$5:$N$215,3,0)*$H25</f>
        <v>9.961928460342147</v>
      </c>
      <c r="K25" s="384">
        <f>VLOOKUP($A25,'8.Non-elective admissions - CCG'!$D$5:$N$215,4,0)*$H25</f>
        <v>9.402177293934681</v>
      </c>
      <c r="L25" s="384">
        <f>VLOOKUP($A25,'8.Non-elective admissions - CCG'!$D$5:$N$215,5,0)*$H25</f>
        <v>10.183639191290824</v>
      </c>
      <c r="M25" s="384">
        <f>VLOOKUP($A25,'8.Non-elective admissions - CCG'!$D$5:$N$215,6,0)*$H25</f>
        <v>10.327340590979782</v>
      </c>
      <c r="N25" s="384">
        <f>VLOOKUP($A25,'8.Non-elective admissions - CCG'!$D$5:$N$215,7,0)*$H25</f>
        <v>9.8635655365474353</v>
      </c>
      <c r="O25" s="384">
        <f>VLOOKUP($A25,'8.Non-elective admissions - CCG'!$D$5:$N$215,8,0)*$H25</f>
        <v>9.4639953219272162</v>
      </c>
      <c r="P25" s="384">
        <f>VLOOKUP($A25,'8.Non-elective admissions - CCG'!$D$5:$N$215,9,0)*$H25</f>
        <v>10.652957262819283</v>
      </c>
      <c r="Q25" s="384">
        <f>VLOOKUP($A25,'8.Non-elective admissions - CCG'!$D$5:$N$215,10,0)*$H25</f>
        <v>10.838562438581647</v>
      </c>
      <c r="R25" s="384">
        <f>VLOOKUP($A25,'8.Non-elective admissions - CCG'!$D$5:$Q$215,11,0)*$H25</f>
        <v>9.8482947156205292</v>
      </c>
      <c r="S25" s="384">
        <f>VLOOKUP($A25,'8.Non-elective admissions - CCG'!$D$5:$Q$215,12,0)*$H25</f>
        <v>9.4418918503365479</v>
      </c>
      <c r="T25" s="384">
        <f>VLOOKUP($A25,'8.Non-elective admissions - CCG'!$D$5:$Q$215,13,0)*$H25</f>
        <v>10.651185040508864</v>
      </c>
      <c r="U25" s="384">
        <f>VLOOKUP($A25,'8.Non-elective admissions - CCG'!$D$5:$Q$215,14,0)*$H25</f>
        <v>10.839964064712909</v>
      </c>
    </row>
    <row r="26" spans="1:21">
      <c r="A26" s="395" t="s">
        <v>36</v>
      </c>
      <c r="B26" s="395" t="s">
        <v>35</v>
      </c>
      <c r="C26" s="395" t="s">
        <v>652</v>
      </c>
      <c r="D26" s="395" t="s">
        <v>23</v>
      </c>
      <c r="E26" s="537">
        <f>COUNTIF($D$5:D26,D26)</f>
        <v>1</v>
      </c>
      <c r="F26" s="537" t="str">
        <f t="shared" si="0"/>
        <v>Barnsley1</v>
      </c>
      <c r="G26" s="541" t="str">
        <f t="shared" si="1"/>
        <v>NHS Barnsley CCG</v>
      </c>
      <c r="H26" s="546">
        <v>0.94400167536619006</v>
      </c>
      <c r="I26" s="546">
        <v>0.98306333145422453</v>
      </c>
      <c r="J26" s="384">
        <f>VLOOKUP($A26,'8.Non-elective admissions - CCG'!$D$5:$N$215,3,0)*$H26</f>
        <v>7304.6849639835791</v>
      </c>
      <c r="K26" s="384">
        <f>VLOOKUP($A26,'8.Non-elective admissions - CCG'!$D$5:$N$215,4,0)*$H26</f>
        <v>7039.4204932056791</v>
      </c>
      <c r="L26" s="384">
        <f>VLOOKUP($A26,'8.Non-elective admissions - CCG'!$D$5:$N$215,5,0)*$H26</f>
        <v>7370.7650812592119</v>
      </c>
      <c r="M26" s="384">
        <f>VLOOKUP($A26,'8.Non-elective admissions - CCG'!$D$5:$N$215,6,0)*$H26</f>
        <v>7634.1415486863789</v>
      </c>
      <c r="N26" s="384">
        <f>VLOOKUP($A26,'8.Non-elective admissions - CCG'!$D$5:$N$215,7,0)*$H26</f>
        <v>7439.6772035609438</v>
      </c>
      <c r="O26" s="384">
        <f>VLOOKUP($A26,'8.Non-elective admissions - CCG'!$D$5:$N$215,8,0)*$H26</f>
        <v>7164.9727160293824</v>
      </c>
      <c r="P26" s="384">
        <f>VLOOKUP($A26,'8.Non-elective admissions - CCG'!$D$5:$N$215,9,0)*$H26</f>
        <v>7495.3733024075491</v>
      </c>
      <c r="Q26" s="384">
        <f>VLOOKUP($A26,'8.Non-elective admissions - CCG'!$D$5:$N$215,10,0)*$H26</f>
        <v>7470.8292588480281</v>
      </c>
      <c r="R26" s="384">
        <f>VLOOKUP($A26,'8.Non-elective admissions - CCG'!$D$5:$Q$215,11,0)*$H26</f>
        <v>7657.7415905705338</v>
      </c>
      <c r="S26" s="384">
        <f>VLOOKUP($A26,'8.Non-elective admissions - CCG'!$D$5:$Q$215,12,0)*$H26</f>
        <v>7375.4850896360431</v>
      </c>
      <c r="T26" s="384">
        <f>VLOOKUP($A26,'8.Non-elective admissions - CCG'!$D$5:$Q$215,13,0)*$H26</f>
        <v>7714.3816910925052</v>
      </c>
      <c r="U26" s="384">
        <f>VLOOKUP($A26,'8.Non-elective admissions - CCG'!$D$5:$Q$215,14,0)*$H26</f>
        <v>7688.8936458576181</v>
      </c>
    </row>
    <row r="27" spans="1:21">
      <c r="A27" s="395" t="s">
        <v>36</v>
      </c>
      <c r="B27" s="395" t="s">
        <v>35</v>
      </c>
      <c r="C27" s="395" t="s">
        <v>685</v>
      </c>
      <c r="D27" s="395" t="s">
        <v>154</v>
      </c>
      <c r="E27" s="537">
        <f>COUNTIF($D$5:D27,D27)</f>
        <v>1</v>
      </c>
      <c r="F27" s="537" t="str">
        <f t="shared" si="0"/>
        <v>Doncaster1</v>
      </c>
      <c r="G27" s="541" t="str">
        <f t="shared" si="1"/>
        <v>NHS Barnsley CCG</v>
      </c>
      <c r="H27" s="546">
        <v>4.0106053840895531E-3</v>
      </c>
      <c r="I27" s="546">
        <v>3.2953903495386459E-3</v>
      </c>
      <c r="J27" s="384">
        <f>VLOOKUP($A27,'8.Non-elective admissions - CCG'!$D$5:$N$215,3,0)*$H27</f>
        <v>31.034064462084963</v>
      </c>
      <c r="K27" s="384">
        <f>VLOOKUP($A27,'8.Non-elective admissions - CCG'!$D$5:$N$215,4,0)*$H27</f>
        <v>29.907084349155799</v>
      </c>
      <c r="L27" s="384">
        <f>VLOOKUP($A27,'8.Non-elective admissions - CCG'!$D$5:$N$215,5,0)*$H27</f>
        <v>31.314806838971229</v>
      </c>
      <c r="M27" s="384">
        <f>VLOOKUP($A27,'8.Non-elective admissions - CCG'!$D$5:$N$215,6,0)*$H27</f>
        <v>32.433765741132213</v>
      </c>
      <c r="N27" s="384">
        <f>VLOOKUP($A27,'8.Non-elective admissions - CCG'!$D$5:$N$215,7,0)*$H27</f>
        <v>31.607581032009769</v>
      </c>
      <c r="O27" s="384">
        <f>VLOOKUP($A27,'8.Non-elective admissions - CCG'!$D$5:$N$215,8,0)*$H27</f>
        <v>30.440494865239707</v>
      </c>
      <c r="P27" s="384">
        <f>VLOOKUP($A27,'8.Non-elective admissions - CCG'!$D$5:$N$215,9,0)*$H27</f>
        <v>31.844206749671052</v>
      </c>
      <c r="Q27" s="384">
        <f>VLOOKUP($A27,'8.Non-elective admissions - CCG'!$D$5:$N$215,10,0)*$H27</f>
        <v>31.739931009684724</v>
      </c>
      <c r="R27" s="384">
        <f>VLOOKUP($A27,'8.Non-elective admissions - CCG'!$D$5:$Q$215,11,0)*$H27</f>
        <v>32.534030875734452</v>
      </c>
      <c r="S27" s="384">
        <f>VLOOKUP($A27,'8.Non-elective admissions - CCG'!$D$5:$Q$215,12,0)*$H27</f>
        <v>31.33485986589168</v>
      </c>
      <c r="T27" s="384">
        <f>VLOOKUP($A27,'8.Non-elective admissions - CCG'!$D$5:$Q$215,13,0)*$H27</f>
        <v>32.774667198779831</v>
      </c>
      <c r="U27" s="384">
        <f>VLOOKUP($A27,'8.Non-elective admissions - CCG'!$D$5:$Q$215,14,0)*$H27</f>
        <v>32.666380853409407</v>
      </c>
    </row>
    <row r="28" spans="1:21">
      <c r="A28" s="395" t="s">
        <v>36</v>
      </c>
      <c r="B28" s="395" t="s">
        <v>35</v>
      </c>
      <c r="C28" s="395" t="s">
        <v>715</v>
      </c>
      <c r="D28" s="395" t="s">
        <v>261</v>
      </c>
      <c r="E28" s="537">
        <f>COUNTIF($D$5:D28,D28)</f>
        <v>1</v>
      </c>
      <c r="F28" s="537" t="str">
        <f t="shared" si="0"/>
        <v>Kirklees1</v>
      </c>
      <c r="G28" s="541" t="str">
        <f t="shared" si="1"/>
        <v>NHS Barnsley CCG</v>
      </c>
      <c r="H28" s="546">
        <v>1.3236973435172418E-3</v>
      </c>
      <c r="I28" s="546">
        <v>0</v>
      </c>
      <c r="J28" s="384">
        <f>VLOOKUP($A28,'8.Non-elective admissions - CCG'!$D$5:$N$215,3,0)*$H28</f>
        <v>10.242770044136417</v>
      </c>
      <c r="K28" s="384">
        <f>VLOOKUP($A28,'8.Non-elective admissions - CCG'!$D$5:$N$215,4,0)*$H28</f>
        <v>9.8708110906080719</v>
      </c>
      <c r="L28" s="384">
        <f>VLOOKUP($A28,'8.Non-elective admissions - CCG'!$D$5:$N$215,5,0)*$H28</f>
        <v>10.335428858182624</v>
      </c>
      <c r="M28" s="384">
        <f>VLOOKUP($A28,'8.Non-elective admissions - CCG'!$D$5:$N$215,6,0)*$H28</f>
        <v>10.704740417023935</v>
      </c>
      <c r="N28" s="384">
        <f>VLOOKUP($A28,'8.Non-elective admissions - CCG'!$D$5:$N$215,7,0)*$H28</f>
        <v>10.432058764259382</v>
      </c>
      <c r="O28" s="384">
        <f>VLOOKUP($A28,'8.Non-elective admissions - CCG'!$D$5:$N$215,8,0)*$H28</f>
        <v>10.046862837295865</v>
      </c>
      <c r="P28" s="384">
        <f>VLOOKUP($A28,'8.Non-elective admissions - CCG'!$D$5:$N$215,9,0)*$H28</f>
        <v>10.5101569075269</v>
      </c>
      <c r="Q28" s="384">
        <f>VLOOKUP($A28,'8.Non-elective admissions - CCG'!$D$5:$N$215,10,0)*$H28</f>
        <v>10.475740776595451</v>
      </c>
      <c r="R28" s="384">
        <f>VLOOKUP($A28,'8.Non-elective admissions - CCG'!$D$5:$Q$215,11,0)*$H28</f>
        <v>10.737832850611865</v>
      </c>
      <c r="S28" s="384">
        <f>VLOOKUP($A28,'8.Non-elective admissions - CCG'!$D$5:$Q$215,12,0)*$H28</f>
        <v>10.342047344900211</v>
      </c>
      <c r="T28" s="384">
        <f>VLOOKUP($A28,'8.Non-elective admissions - CCG'!$D$5:$Q$215,13,0)*$H28</f>
        <v>10.8172546912229</v>
      </c>
      <c r="U28" s="384">
        <f>VLOOKUP($A28,'8.Non-elective admissions - CCG'!$D$5:$Q$215,14,0)*$H28</f>
        <v>10.781514862947935</v>
      </c>
    </row>
    <row r="29" spans="1:21">
      <c r="A29" s="395" t="s">
        <v>36</v>
      </c>
      <c r="B29" s="395" t="s">
        <v>35</v>
      </c>
      <c r="C29" s="395" t="s">
        <v>753</v>
      </c>
      <c r="D29" s="395" t="s">
        <v>375</v>
      </c>
      <c r="E29" s="537">
        <f>COUNTIF($D$5:D29,D29)</f>
        <v>1</v>
      </c>
      <c r="F29" s="537" t="str">
        <f t="shared" si="0"/>
        <v>Rotherham1</v>
      </c>
      <c r="G29" s="541" t="str">
        <f t="shared" si="1"/>
        <v>NHS Barnsley CCG</v>
      </c>
      <c r="H29" s="546">
        <v>3.4392422919325587E-2</v>
      </c>
      <c r="I29" s="546">
        <v>3.2258662288422987E-2</v>
      </c>
      <c r="J29" s="384">
        <f>VLOOKUP($A29,'8.Non-elective admissions - CCG'!$D$5:$N$215,3,0)*$H29</f>
        <v>266.12856854974137</v>
      </c>
      <c r="K29" s="384">
        <f>VLOOKUP($A29,'8.Non-elective admissions - CCG'!$D$5:$N$215,4,0)*$H29</f>
        <v>256.46429770941091</v>
      </c>
      <c r="L29" s="384">
        <f>VLOOKUP($A29,'8.Non-elective admissions - CCG'!$D$5:$N$215,5,0)*$H29</f>
        <v>268.53603815409417</v>
      </c>
      <c r="M29" s="384">
        <f>VLOOKUP($A29,'8.Non-elective admissions - CCG'!$D$5:$N$215,6,0)*$H29</f>
        <v>278.13152414858604</v>
      </c>
      <c r="N29" s="384">
        <f>VLOOKUP($A29,'8.Non-elective admissions - CCG'!$D$5:$N$215,7,0)*$H29</f>
        <v>271.04668502720494</v>
      </c>
      <c r="O29" s="384">
        <f>VLOOKUP($A29,'8.Non-elective admissions - CCG'!$D$5:$N$215,8,0)*$H29</f>
        <v>261.03848995768118</v>
      </c>
      <c r="P29" s="384">
        <f>VLOOKUP($A29,'8.Non-elective admissions - CCG'!$D$5:$N$215,9,0)*$H29</f>
        <v>273.07583797944517</v>
      </c>
      <c r="Q29" s="384">
        <f>VLOOKUP($A29,'8.Non-elective admissions - CCG'!$D$5:$N$215,10,0)*$H29</f>
        <v>272.18163498354272</v>
      </c>
      <c r="R29" s="384">
        <f>VLOOKUP($A29,'8.Non-elective admissions - CCG'!$D$5:$Q$215,11,0)*$H29</f>
        <v>278.99133472156916</v>
      </c>
      <c r="S29" s="384">
        <f>VLOOKUP($A29,'8.Non-elective admissions - CCG'!$D$5:$Q$215,12,0)*$H29</f>
        <v>268.7080002686908</v>
      </c>
      <c r="T29" s="384">
        <f>VLOOKUP($A29,'8.Non-elective admissions - CCG'!$D$5:$Q$215,13,0)*$H29</f>
        <v>281.05488009672871</v>
      </c>
      <c r="U29" s="384">
        <f>VLOOKUP($A29,'8.Non-elective admissions - CCG'!$D$5:$Q$215,14,0)*$H29</f>
        <v>280.12628467790688</v>
      </c>
    </row>
    <row r="30" spans="1:21">
      <c r="A30" s="395" t="s">
        <v>36</v>
      </c>
      <c r="B30" s="395" t="s">
        <v>35</v>
      </c>
      <c r="C30" s="395" t="s">
        <v>758</v>
      </c>
      <c r="D30" s="395" t="s">
        <v>390</v>
      </c>
      <c r="E30" s="537">
        <f>COUNTIF($D$5:D30,D30)</f>
        <v>1</v>
      </c>
      <c r="F30" s="537" t="str">
        <f t="shared" si="0"/>
        <v>Sheffield1</v>
      </c>
      <c r="G30" s="541" t="str">
        <f t="shared" si="1"/>
        <v>NHS Barnsley CCG</v>
      </c>
      <c r="H30" s="546">
        <v>8.0962861399009791E-3</v>
      </c>
      <c r="I30" s="546">
        <v>3.5566618411322997E-3</v>
      </c>
      <c r="J30" s="384">
        <f>VLOOKUP($A30,'8.Non-elective admissions - CCG'!$D$5:$N$215,3,0)*$H30</f>
        <v>62.649062150553775</v>
      </c>
      <c r="K30" s="384">
        <f>VLOOKUP($A30,'8.Non-elective admissions - CCG'!$D$5:$N$215,4,0)*$H30</f>
        <v>60.374005745241604</v>
      </c>
      <c r="L30" s="384">
        <f>VLOOKUP($A30,'8.Non-elective admissions - CCG'!$D$5:$N$215,5,0)*$H30</f>
        <v>63.215802180346842</v>
      </c>
      <c r="M30" s="384">
        <f>VLOOKUP($A30,'8.Non-elective admissions - CCG'!$D$5:$N$215,6,0)*$H30</f>
        <v>65.47466601337922</v>
      </c>
      <c r="N30" s="384">
        <f>VLOOKUP($A30,'8.Non-elective admissions - CCG'!$D$5:$N$215,7,0)*$H30</f>
        <v>63.806831068559617</v>
      </c>
      <c r="O30" s="384">
        <f>VLOOKUP($A30,'8.Non-elective admissions - CCG'!$D$5:$N$215,8,0)*$H30</f>
        <v>61.450811801848431</v>
      </c>
      <c r="P30" s="384">
        <f>VLOOKUP($A30,'8.Non-elective admissions - CCG'!$D$5:$N$215,9,0)*$H30</f>
        <v>64.28451195081378</v>
      </c>
      <c r="Q30" s="384">
        <f>VLOOKUP($A30,'8.Non-elective admissions - CCG'!$D$5:$N$215,10,0)*$H30</f>
        <v>64.074008511176345</v>
      </c>
      <c r="R30" s="384">
        <f>VLOOKUP($A30,'8.Non-elective admissions - CCG'!$D$5:$Q$215,11,0)*$H30</f>
        <v>65.677073166876738</v>
      </c>
      <c r="S30" s="384">
        <f>VLOOKUP($A30,'8.Non-elective admissions - CCG'!$D$5:$Q$215,12,0)*$H30</f>
        <v>63.256283611046349</v>
      </c>
      <c r="T30" s="384">
        <f>VLOOKUP($A30,'8.Non-elective admissions - CCG'!$D$5:$Q$215,13,0)*$H30</f>
        <v>66.162850335270804</v>
      </c>
      <c r="U30" s="384">
        <f>VLOOKUP($A30,'8.Non-elective admissions - CCG'!$D$5:$Q$215,14,0)*$H30</f>
        <v>65.94425060949348</v>
      </c>
    </row>
    <row r="31" spans="1:21">
      <c r="A31" s="395" t="s">
        <v>36</v>
      </c>
      <c r="B31" s="395" t="s">
        <v>35</v>
      </c>
      <c r="C31" s="395" t="s">
        <v>784</v>
      </c>
      <c r="D31" s="395" t="s">
        <v>468</v>
      </c>
      <c r="E31" s="537">
        <f>COUNTIF($D$5:D31,D31)</f>
        <v>1</v>
      </c>
      <c r="F31" s="537" t="str">
        <f t="shared" si="0"/>
        <v>Wakefield1</v>
      </c>
      <c r="G31" s="541" t="str">
        <f t="shared" si="1"/>
        <v>NHS Barnsley CCG</v>
      </c>
      <c r="H31" s="546">
        <v>8.1753128469766369E-3</v>
      </c>
      <c r="I31" s="546">
        <v>5.9739674766700534E-3</v>
      </c>
      <c r="J31" s="384">
        <f>VLOOKUP($A31,'8.Non-elective admissions - CCG'!$D$5:$N$215,3,0)*$H31</f>
        <v>63.260570809905218</v>
      </c>
      <c r="K31" s="384">
        <f>VLOOKUP($A31,'8.Non-elective admissions - CCG'!$D$5:$N$215,4,0)*$H31</f>
        <v>60.963307899904784</v>
      </c>
      <c r="L31" s="384">
        <f>VLOOKUP($A31,'8.Non-elective admissions - CCG'!$D$5:$N$215,5,0)*$H31</f>
        <v>63.832842709193578</v>
      </c>
      <c r="M31" s="384">
        <f>VLOOKUP($A31,'8.Non-elective admissions - CCG'!$D$5:$N$215,6,0)*$H31</f>
        <v>66.113754993500066</v>
      </c>
      <c r="N31" s="384">
        <f>VLOOKUP($A31,'8.Non-elective admissions - CCG'!$D$5:$N$215,7,0)*$H31</f>
        <v>64.429640547022871</v>
      </c>
      <c r="O31" s="384">
        <f>VLOOKUP($A31,'8.Non-elective admissions - CCG'!$D$5:$N$215,8,0)*$H31</f>
        <v>62.050624508552673</v>
      </c>
      <c r="P31" s="384">
        <f>VLOOKUP($A31,'8.Non-elective admissions - CCG'!$D$5:$N$215,9,0)*$H31</f>
        <v>64.911984004994494</v>
      </c>
      <c r="Q31" s="384">
        <f>VLOOKUP($A31,'8.Non-elective admissions - CCG'!$D$5:$N$215,10,0)*$H31</f>
        <v>64.699425870973101</v>
      </c>
      <c r="R31" s="384">
        <f>VLOOKUP($A31,'8.Non-elective admissions - CCG'!$D$5:$Q$215,11,0)*$H31</f>
        <v>66.318137814674472</v>
      </c>
      <c r="S31" s="384">
        <f>VLOOKUP($A31,'8.Non-elective admissions - CCG'!$D$5:$Q$215,12,0)*$H31</f>
        <v>63.873719273428463</v>
      </c>
      <c r="T31" s="384">
        <f>VLOOKUP($A31,'8.Non-elective admissions - CCG'!$D$5:$Q$215,13,0)*$H31</f>
        <v>66.808656585493083</v>
      </c>
      <c r="U31" s="384">
        <f>VLOOKUP($A31,'8.Non-elective admissions - CCG'!$D$5:$Q$215,14,0)*$H31</f>
        <v>66.587923138624703</v>
      </c>
    </row>
    <row r="32" spans="1:21">
      <c r="A32" s="395" t="s">
        <v>41</v>
      </c>
      <c r="B32" s="395" t="s">
        <v>40</v>
      </c>
      <c r="C32" s="395" t="s">
        <v>692</v>
      </c>
      <c r="D32" s="395" t="s">
        <v>180</v>
      </c>
      <c r="E32" s="537">
        <f>COUNTIF($D$5:D32,D32)</f>
        <v>1</v>
      </c>
      <c r="F32" s="537" t="str">
        <f t="shared" si="0"/>
        <v>Essex1</v>
      </c>
      <c r="G32" s="541" t="str">
        <f t="shared" si="1"/>
        <v>NHS Basildon and Brentwood CCG</v>
      </c>
      <c r="H32" s="546">
        <v>0.99848048594728134</v>
      </c>
      <c r="I32" s="546">
        <v>0.18253614644403751</v>
      </c>
      <c r="J32" s="384">
        <f>VLOOKUP($A32,'8.Non-elective admissions - CCG'!$D$5:$N$215,3,0)*$H32</f>
        <v>5643.4117065740338</v>
      </c>
      <c r="K32" s="384">
        <f>VLOOKUP($A32,'8.Non-elective admissions - CCG'!$D$5:$N$215,4,0)*$H32</f>
        <v>5715.3023015622384</v>
      </c>
      <c r="L32" s="384">
        <f>VLOOKUP($A32,'8.Non-elective admissions - CCG'!$D$5:$N$215,5,0)*$H32</f>
        <v>5753.2445600282354</v>
      </c>
      <c r="M32" s="384">
        <f>VLOOKUP($A32,'8.Non-elective admissions - CCG'!$D$5:$N$215,6,0)*$H32</f>
        <v>5774.2126502331275</v>
      </c>
      <c r="N32" s="384">
        <f>VLOOKUP($A32,'8.Non-elective admissions - CCG'!$D$5:$N$215,7,0)*$H32</f>
        <v>5936.8346854222082</v>
      </c>
      <c r="O32" s="384">
        <f>VLOOKUP($A32,'8.Non-elective admissions - CCG'!$D$5:$N$215,8,0)*$H32</f>
        <v>5906.0439645368797</v>
      </c>
      <c r="P32" s="384">
        <f>VLOOKUP($A32,'8.Non-elective admissions - CCG'!$D$5:$N$215,9,0)*$H32</f>
        <v>5947.2467158185418</v>
      </c>
      <c r="Q32" s="384">
        <f>VLOOKUP($A32,'8.Non-elective admissions - CCG'!$D$5:$N$215,10,0)*$H32</f>
        <v>5880.7711637945131</v>
      </c>
      <c r="R32" s="384">
        <f>VLOOKUP($A32,'8.Non-elective admissions - CCG'!$D$5:$Q$215,11,0)*$H32</f>
        <v>5849.5789672654555</v>
      </c>
      <c r="S32" s="384">
        <f>VLOOKUP($A32,'8.Non-elective admissions - CCG'!$D$5:$Q$215,12,0)*$H32</f>
        <v>5813.7124050499206</v>
      </c>
      <c r="T32" s="384">
        <f>VLOOKUP($A32,'8.Non-elective admissions - CCG'!$D$5:$Q$215,13,0)*$H32</f>
        <v>5855.4992808454235</v>
      </c>
      <c r="U32" s="384">
        <f>VLOOKUP($A32,'8.Non-elective admissions - CCG'!$D$5:$Q$215,14,0)*$H32</f>
        <v>5796.9274354612653</v>
      </c>
    </row>
    <row r="33" spans="1:21">
      <c r="A33" s="395" t="s">
        <v>41</v>
      </c>
      <c r="B33" s="395" t="s">
        <v>40</v>
      </c>
      <c r="C33" s="395" t="s">
        <v>780</v>
      </c>
      <c r="D33" s="395" t="s">
        <v>456</v>
      </c>
      <c r="E33" s="537">
        <f>COUNTIF($D$5:D33,D33)</f>
        <v>2</v>
      </c>
      <c r="F33" s="537" t="str">
        <f t="shared" si="0"/>
        <v>Thurrock2</v>
      </c>
      <c r="G33" s="541" t="str">
        <f t="shared" si="1"/>
        <v>NHS Basildon and Brentwood CCG</v>
      </c>
      <c r="H33" s="546">
        <v>1.5195140527185928E-3</v>
      </c>
      <c r="I33" s="546">
        <v>2.4742442665892325E-3</v>
      </c>
      <c r="J33" s="384">
        <f>VLOOKUP($A33,'8.Non-elective admissions - CCG'!$D$5:$N$215,3,0)*$H33</f>
        <v>8.5882934259654871</v>
      </c>
      <c r="K33" s="384">
        <f>VLOOKUP($A33,'8.Non-elective admissions - CCG'!$D$5:$N$215,4,0)*$H33</f>
        <v>8.6976984377612254</v>
      </c>
      <c r="L33" s="384">
        <f>VLOOKUP($A33,'8.Non-elective admissions - CCG'!$D$5:$N$215,5,0)*$H33</f>
        <v>8.755439971764531</v>
      </c>
      <c r="M33" s="384">
        <f>VLOOKUP($A33,'8.Non-elective admissions - CCG'!$D$5:$N$215,6,0)*$H33</f>
        <v>8.7873497668716212</v>
      </c>
      <c r="N33" s="384">
        <f>VLOOKUP($A33,'8.Non-elective admissions - CCG'!$D$5:$N$215,7,0)*$H33</f>
        <v>9.0348322877914669</v>
      </c>
      <c r="O33" s="384">
        <f>VLOOKUP($A33,'8.Non-elective admissions - CCG'!$D$5:$N$215,8,0)*$H33</f>
        <v>8.9879741531187545</v>
      </c>
      <c r="P33" s="384">
        <f>VLOOKUP($A33,'8.Non-elective admissions - CCG'!$D$5:$N$215,9,0)*$H33</f>
        <v>9.0506775914576192</v>
      </c>
      <c r="Q33" s="384">
        <f>VLOOKUP($A33,'8.Non-elective admissions - CCG'!$D$5:$N$215,10,0)*$H33</f>
        <v>8.9495133354862997</v>
      </c>
      <c r="R33" s="384">
        <f>VLOOKUP($A33,'8.Non-elective admissions - CCG'!$D$5:$Q$215,11,0)*$H33</f>
        <v>8.9020442245440901</v>
      </c>
      <c r="S33" s="384">
        <f>VLOOKUP($A33,'8.Non-elective admissions - CCG'!$D$5:$Q$215,12,0)*$H33</f>
        <v>8.8474615400787986</v>
      </c>
      <c r="T33" s="384">
        <f>VLOOKUP($A33,'8.Non-elective admissions - CCG'!$D$5:$Q$215,13,0)*$H33</f>
        <v>8.9110539145759677</v>
      </c>
      <c r="U33" s="384">
        <f>VLOOKUP($A33,'8.Non-elective admissions - CCG'!$D$5:$Q$215,14,0)*$H33</f>
        <v>8.8219177287340855</v>
      </c>
    </row>
    <row r="34" spans="1:21">
      <c r="A34" s="395" t="s">
        <v>47</v>
      </c>
      <c r="B34" s="395" t="s">
        <v>46</v>
      </c>
      <c r="C34" s="395" t="s">
        <v>683</v>
      </c>
      <c r="D34" s="395" t="s">
        <v>146</v>
      </c>
      <c r="E34" s="537">
        <f>COUNTIF($D$5:D34,D34)</f>
        <v>1</v>
      </c>
      <c r="F34" s="537" t="str">
        <f t="shared" si="0"/>
        <v>Derbyshire1</v>
      </c>
      <c r="G34" s="541" t="str">
        <f t="shared" si="1"/>
        <v>NHS Bassetlaw CCG</v>
      </c>
      <c r="H34" s="546">
        <v>1.3521276125668328E-3</v>
      </c>
      <c r="I34" s="546">
        <v>0</v>
      </c>
      <c r="J34" s="384">
        <f>VLOOKUP($A34,'8.Non-elective admissions - CCG'!$D$5:$N$215,3,0)*$H34</f>
        <v>3.8251690159515701</v>
      </c>
      <c r="K34" s="384">
        <f>VLOOKUP($A34,'8.Non-elective admissions - CCG'!$D$5:$N$215,4,0)*$H34</f>
        <v>3.7859573151871317</v>
      </c>
      <c r="L34" s="384">
        <f>VLOOKUP($A34,'8.Non-elective admissions - CCG'!$D$5:$N$215,5,0)*$H34</f>
        <v>3.8238168883390031</v>
      </c>
      <c r="M34" s="384">
        <f>VLOOKUP($A34,'8.Non-elective admissions - CCG'!$D$5:$N$215,6,0)*$H34</f>
        <v>3.8941275241924784</v>
      </c>
      <c r="N34" s="384">
        <f>VLOOKUP($A34,'8.Non-elective admissions - CCG'!$D$5:$N$215,7,0)*$H34</f>
        <v>3.5506871106005029</v>
      </c>
      <c r="O34" s="384">
        <f>VLOOKUP($A34,'8.Non-elective admissions - CCG'!$D$5:$N$215,8,0)*$H34</f>
        <v>3.5222924307365995</v>
      </c>
      <c r="P34" s="384">
        <f>VLOOKUP($A34,'8.Non-elective admissions - CCG'!$D$5:$N$215,9,0)*$H34</f>
        <v>3.5520392382130699</v>
      </c>
      <c r="Q34" s="384">
        <f>VLOOKUP($A34,'8.Non-elective admissions - CCG'!$D$5:$N$215,10,0)*$H34</f>
        <v>3.5344615792497009</v>
      </c>
      <c r="R34" s="384">
        <f>VLOOKUP($A34,'8.Non-elective admissions - CCG'!$D$5:$Q$215,11,0)*$H34</f>
        <v>3.4235871150192208</v>
      </c>
      <c r="S34" s="384">
        <f>VLOOKUP($A34,'8.Non-elective admissions - CCG'!$D$5:$Q$215,12,0)*$H34</f>
        <v>3.3992488179930178</v>
      </c>
      <c r="T34" s="384">
        <f>VLOOKUP($A34,'8.Non-elective admissions - CCG'!$D$5:$Q$215,13,0)*$H34</f>
        <v>3.4303477530820548</v>
      </c>
      <c r="U34" s="384">
        <f>VLOOKUP($A34,'8.Non-elective admissions - CCG'!$D$5:$Q$215,14,0)*$H34</f>
        <v>3.3370509478149435</v>
      </c>
    </row>
    <row r="35" spans="1:21">
      <c r="A35" s="395" t="s">
        <v>47</v>
      </c>
      <c r="B35" s="395" t="s">
        <v>46</v>
      </c>
      <c r="C35" s="395" t="s">
        <v>685</v>
      </c>
      <c r="D35" s="395" t="s">
        <v>154</v>
      </c>
      <c r="E35" s="537">
        <f>COUNTIF($D$5:D35,D35)</f>
        <v>2</v>
      </c>
      <c r="F35" s="537" t="str">
        <f t="shared" si="0"/>
        <v>Doncaster2</v>
      </c>
      <c r="G35" s="541" t="str">
        <f t="shared" si="1"/>
        <v>NHS Bassetlaw CCG</v>
      </c>
      <c r="H35" s="546">
        <v>1.1241217798594846E-2</v>
      </c>
      <c r="I35" s="546">
        <v>4.1297896794218296E-3</v>
      </c>
      <c r="J35" s="384">
        <f>VLOOKUP($A35,'8.Non-elective admissions - CCG'!$D$5:$N$215,3,0)*$H35</f>
        <v>31.80140515222482</v>
      </c>
      <c r="K35" s="384">
        <f>VLOOKUP($A35,'8.Non-elective admissions - CCG'!$D$5:$N$215,4,0)*$H35</f>
        <v>31.47540983606557</v>
      </c>
      <c r="L35" s="384">
        <f>VLOOKUP($A35,'8.Non-elective admissions - CCG'!$D$5:$N$215,5,0)*$H35</f>
        <v>31.790163934426225</v>
      </c>
      <c r="M35" s="384">
        <f>VLOOKUP($A35,'8.Non-elective admissions - CCG'!$D$5:$N$215,6,0)*$H35</f>
        <v>32.374707259953155</v>
      </c>
      <c r="N35" s="384">
        <f>VLOOKUP($A35,'8.Non-elective admissions - CCG'!$D$5:$N$215,7,0)*$H35</f>
        <v>29.519437939110066</v>
      </c>
      <c r="O35" s="384">
        <f>VLOOKUP($A35,'8.Non-elective admissions - CCG'!$D$5:$N$215,8,0)*$H35</f>
        <v>29.283372365339574</v>
      </c>
      <c r="P35" s="384">
        <f>VLOOKUP($A35,'8.Non-elective admissions - CCG'!$D$5:$N$215,9,0)*$H35</f>
        <v>29.530679156908661</v>
      </c>
      <c r="Q35" s="384">
        <f>VLOOKUP($A35,'8.Non-elective admissions - CCG'!$D$5:$N$215,10,0)*$H35</f>
        <v>29.384543325526927</v>
      </c>
      <c r="R35" s="384">
        <f>VLOOKUP($A35,'8.Non-elective admissions - CCG'!$D$5:$Q$215,11,0)*$H35</f>
        <v>28.462763466042151</v>
      </c>
      <c r="S35" s="384">
        <f>VLOOKUP($A35,'8.Non-elective admissions - CCG'!$D$5:$Q$215,12,0)*$H35</f>
        <v>28.260421545667445</v>
      </c>
      <c r="T35" s="384">
        <f>VLOOKUP($A35,'8.Non-elective admissions - CCG'!$D$5:$Q$215,13,0)*$H35</f>
        <v>28.518969555035124</v>
      </c>
      <c r="U35" s="384">
        <f>VLOOKUP($A35,'8.Non-elective admissions - CCG'!$D$5:$Q$215,14,0)*$H35</f>
        <v>27.743325526932079</v>
      </c>
    </row>
    <row r="36" spans="1:21">
      <c r="A36" s="395" t="s">
        <v>47</v>
      </c>
      <c r="B36" s="395" t="s">
        <v>46</v>
      </c>
      <c r="C36" s="395" t="s">
        <v>735</v>
      </c>
      <c r="D36" s="395" t="s">
        <v>321</v>
      </c>
      <c r="E36" s="537">
        <f>COUNTIF($D$5:D36,D36)</f>
        <v>1</v>
      </c>
      <c r="F36" s="537" t="str">
        <f t="shared" si="0"/>
        <v>North Lincolnshire1</v>
      </c>
      <c r="G36" s="541" t="str">
        <f t="shared" si="1"/>
        <v>NHS Bassetlaw CCG</v>
      </c>
      <c r="H36" s="546">
        <v>2.1386593610534222E-3</v>
      </c>
      <c r="I36" s="546">
        <v>1.4178330589455308E-3</v>
      </c>
      <c r="J36" s="384">
        <f>VLOOKUP($A36,'8.Non-elective admissions - CCG'!$D$5:$N$215,3,0)*$H36</f>
        <v>6.0502673324201313</v>
      </c>
      <c r="K36" s="384">
        <f>VLOOKUP($A36,'8.Non-elective admissions - CCG'!$D$5:$N$215,4,0)*$H36</f>
        <v>5.9882462109495824</v>
      </c>
      <c r="L36" s="384">
        <f>VLOOKUP($A36,'8.Non-elective admissions - CCG'!$D$5:$N$215,5,0)*$H36</f>
        <v>6.048128673059078</v>
      </c>
      <c r="M36" s="384">
        <f>VLOOKUP($A36,'8.Non-elective admissions - CCG'!$D$5:$N$215,6,0)*$H36</f>
        <v>6.1593389598338559</v>
      </c>
      <c r="N36" s="384">
        <f>VLOOKUP($A36,'8.Non-elective admissions - CCG'!$D$5:$N$215,7,0)*$H36</f>
        <v>5.6161194821262868</v>
      </c>
      <c r="O36" s="384">
        <f>VLOOKUP($A36,'8.Non-elective admissions - CCG'!$D$5:$N$215,8,0)*$H36</f>
        <v>5.5712076355441651</v>
      </c>
      <c r="P36" s="384">
        <f>VLOOKUP($A36,'8.Non-elective admissions - CCG'!$D$5:$N$215,9,0)*$H36</f>
        <v>5.61825814148734</v>
      </c>
      <c r="Q36" s="384">
        <f>VLOOKUP($A36,'8.Non-elective admissions - CCG'!$D$5:$N$215,10,0)*$H36</f>
        <v>5.5904555697936456</v>
      </c>
      <c r="R36" s="384">
        <f>VLOOKUP($A36,'8.Non-elective admissions - CCG'!$D$5:$Q$215,11,0)*$H36</f>
        <v>5.4150855021872646</v>
      </c>
      <c r="S36" s="384">
        <f>VLOOKUP($A36,'8.Non-elective admissions - CCG'!$D$5:$Q$215,12,0)*$H36</f>
        <v>5.3765896336883037</v>
      </c>
      <c r="T36" s="384">
        <f>VLOOKUP($A36,'8.Non-elective admissions - CCG'!$D$5:$Q$215,13,0)*$H36</f>
        <v>5.4257787989925319</v>
      </c>
      <c r="U36" s="384">
        <f>VLOOKUP($A36,'8.Non-elective admissions - CCG'!$D$5:$Q$215,14,0)*$H36</f>
        <v>5.2782113030798463</v>
      </c>
    </row>
    <row r="37" spans="1:21">
      <c r="A37" s="395" t="s">
        <v>47</v>
      </c>
      <c r="B37" s="395" t="s">
        <v>46</v>
      </c>
      <c r="C37" s="395" t="s">
        <v>742</v>
      </c>
      <c r="D37" s="395" t="s">
        <v>342</v>
      </c>
      <c r="E37" s="537">
        <f>COUNTIF($D$5:D37,D37)</f>
        <v>1</v>
      </c>
      <c r="F37" s="537" t="str">
        <f t="shared" si="0"/>
        <v>Nottinghamshire1</v>
      </c>
      <c r="G37" s="541" t="str">
        <f t="shared" si="1"/>
        <v>NHS Bassetlaw CCG</v>
      </c>
      <c r="H37" s="546">
        <v>0.97595333834121323</v>
      </c>
      <c r="I37" s="546">
        <v>0.13492060583180923</v>
      </c>
      <c r="J37" s="384">
        <f>VLOOKUP($A37,'8.Non-elective admissions - CCG'!$D$5:$N$215,3,0)*$H37</f>
        <v>2760.971994167292</v>
      </c>
      <c r="K37" s="384">
        <f>VLOOKUP($A37,'8.Non-elective admissions - CCG'!$D$5:$N$215,4,0)*$H37</f>
        <v>2732.6693473553969</v>
      </c>
      <c r="L37" s="384">
        <f>VLOOKUP($A37,'8.Non-elective admissions - CCG'!$D$5:$N$215,5,0)*$H37</f>
        <v>2759.9960408289512</v>
      </c>
      <c r="M37" s="384">
        <f>VLOOKUP($A37,'8.Non-elective admissions - CCG'!$D$5:$N$215,6,0)*$H37</f>
        <v>2810.745614422694</v>
      </c>
      <c r="N37" s="384">
        <f>VLOOKUP($A37,'8.Non-elective admissions - CCG'!$D$5:$N$215,7,0)*$H37</f>
        <v>2562.8534664840258</v>
      </c>
      <c r="O37" s="384">
        <f>VLOOKUP($A37,'8.Non-elective admissions - CCG'!$D$5:$N$215,8,0)*$H37</f>
        <v>2542.3584463788607</v>
      </c>
      <c r="P37" s="384">
        <f>VLOOKUP($A37,'8.Non-elective admissions - CCG'!$D$5:$N$215,9,0)*$H37</f>
        <v>2563.8294198223671</v>
      </c>
      <c r="Q37" s="384">
        <f>VLOOKUP($A37,'8.Non-elective admissions - CCG'!$D$5:$N$215,10,0)*$H37</f>
        <v>2551.1420264239314</v>
      </c>
      <c r="R37" s="384">
        <f>VLOOKUP($A37,'8.Non-elective admissions - CCG'!$D$5:$Q$215,11,0)*$H37</f>
        <v>2471.1138526799518</v>
      </c>
      <c r="S37" s="384">
        <f>VLOOKUP($A37,'8.Non-elective admissions - CCG'!$D$5:$Q$215,12,0)*$H37</f>
        <v>2453.5466925898099</v>
      </c>
      <c r="T37" s="384">
        <f>VLOOKUP($A37,'8.Non-elective admissions - CCG'!$D$5:$Q$215,13,0)*$H37</f>
        <v>2475.993619371658</v>
      </c>
      <c r="U37" s="384">
        <f>VLOOKUP($A37,'8.Non-elective admissions - CCG'!$D$5:$Q$215,14,0)*$H37</f>
        <v>2408.6528390261142</v>
      </c>
    </row>
    <row r="38" spans="1:21">
      <c r="A38" s="395" t="s">
        <v>47</v>
      </c>
      <c r="B38" s="395" t="s">
        <v>46</v>
      </c>
      <c r="C38" s="395" t="s">
        <v>753</v>
      </c>
      <c r="D38" s="395" t="s">
        <v>375</v>
      </c>
      <c r="E38" s="537">
        <f>COUNTIF($D$5:D38,D38)</f>
        <v>2</v>
      </c>
      <c r="F38" s="537" t="str">
        <f t="shared" si="0"/>
        <v>Rotherham2</v>
      </c>
      <c r="G38" s="541" t="str">
        <f t="shared" si="1"/>
        <v>NHS Bassetlaw CCG</v>
      </c>
      <c r="H38" s="546">
        <v>9.3146568865715151E-3</v>
      </c>
      <c r="I38" s="546">
        <v>3.9063223864887206E-3</v>
      </c>
      <c r="J38" s="384">
        <f>VLOOKUP($A38,'8.Non-elective admissions - CCG'!$D$5:$N$215,3,0)*$H38</f>
        <v>26.351164332110816</v>
      </c>
      <c r="K38" s="384">
        <f>VLOOKUP($A38,'8.Non-elective admissions - CCG'!$D$5:$N$215,4,0)*$H38</f>
        <v>26.081039282400241</v>
      </c>
      <c r="L38" s="384">
        <f>VLOOKUP($A38,'8.Non-elective admissions - CCG'!$D$5:$N$215,5,0)*$H38</f>
        <v>26.341849675224246</v>
      </c>
      <c r="M38" s="384">
        <f>VLOOKUP($A38,'8.Non-elective admissions - CCG'!$D$5:$N$215,6,0)*$H38</f>
        <v>26.826211833325964</v>
      </c>
      <c r="N38" s="384">
        <f>VLOOKUP($A38,'8.Non-elective admissions - CCG'!$D$5:$N$215,7,0)*$H38</f>
        <v>24.460288984136799</v>
      </c>
      <c r="O38" s="384">
        <f>VLOOKUP($A38,'8.Non-elective admissions - CCG'!$D$5:$N$215,8,0)*$H38</f>
        <v>24.264681189518797</v>
      </c>
      <c r="P38" s="384">
        <f>VLOOKUP($A38,'8.Non-elective admissions - CCG'!$D$5:$N$215,9,0)*$H38</f>
        <v>24.469603641023369</v>
      </c>
      <c r="Q38" s="384">
        <f>VLOOKUP($A38,'8.Non-elective admissions - CCG'!$D$5:$N$215,10,0)*$H38</f>
        <v>24.348513101497939</v>
      </c>
      <c r="R38" s="384">
        <f>VLOOKUP($A38,'8.Non-elective admissions - CCG'!$D$5:$Q$215,11,0)*$H38</f>
        <v>23.584711236799077</v>
      </c>
      <c r="S38" s="384">
        <f>VLOOKUP($A38,'8.Non-elective admissions - CCG'!$D$5:$Q$215,12,0)*$H38</f>
        <v>23.417047412840788</v>
      </c>
      <c r="T38" s="384">
        <f>VLOOKUP($A38,'8.Non-elective admissions - CCG'!$D$5:$Q$215,13,0)*$H38</f>
        <v>23.631284521231933</v>
      </c>
      <c r="U38" s="384">
        <f>VLOOKUP($A38,'8.Non-elective admissions - CCG'!$D$5:$Q$215,14,0)*$H38</f>
        <v>22.9885731960585</v>
      </c>
    </row>
    <row r="39" spans="1:21">
      <c r="A39" s="395" t="s">
        <v>50</v>
      </c>
      <c r="B39" s="395" t="s">
        <v>49</v>
      </c>
      <c r="C39" s="395" t="s">
        <v>653</v>
      </c>
      <c r="D39" s="395" t="s">
        <v>29</v>
      </c>
      <c r="E39" s="537">
        <f>COUNTIF($D$5:D39,D39)</f>
        <v>1</v>
      </c>
      <c r="F39" s="537" t="str">
        <f t="shared" si="0"/>
        <v>Bath and North East Somerset1</v>
      </c>
      <c r="G39" s="541" t="str">
        <f t="shared" si="1"/>
        <v>NHS Bath and North East Somerset CCG</v>
      </c>
      <c r="H39" s="546">
        <v>0.94110082561921438</v>
      </c>
      <c r="I39" s="546">
        <v>0.98443363883320334</v>
      </c>
      <c r="J39" s="384">
        <f>VLOOKUP($A39,'8.Non-elective admissions - CCG'!$D$5:$N$215,3,0)*$H39</f>
        <v>3468.8976432324243</v>
      </c>
      <c r="K39" s="384">
        <f>VLOOKUP($A39,'8.Non-elective admissions - CCG'!$D$5:$N$215,4,0)*$H39</f>
        <v>3254.3266549912432</v>
      </c>
      <c r="L39" s="384">
        <f>VLOOKUP($A39,'8.Non-elective admissions - CCG'!$D$5:$N$215,5,0)*$H39</f>
        <v>3413.3726945208905</v>
      </c>
      <c r="M39" s="384">
        <f>VLOOKUP($A39,'8.Non-elective admissions - CCG'!$D$5:$N$215,6,0)*$H39</f>
        <v>3598.769557167876</v>
      </c>
      <c r="N39" s="384">
        <f>VLOOKUP($A39,'8.Non-elective admissions - CCG'!$D$5:$N$215,7,0)*$H39</f>
        <v>3286.3240830622967</v>
      </c>
      <c r="O39" s="384">
        <f>VLOOKUP($A39,'8.Non-elective admissions - CCG'!$D$5:$N$215,8,0)*$H39</f>
        <v>3069.8708931698775</v>
      </c>
      <c r="P39" s="384">
        <f>VLOOKUP($A39,'8.Non-elective admissions - CCG'!$D$5:$N$215,9,0)*$H39</f>
        <v>3229.8580335251436</v>
      </c>
      <c r="Q39" s="384">
        <f>VLOOKUP($A39,'8.Non-elective admissions - CCG'!$D$5:$N$215,10,0)*$H39</f>
        <v>3417.1370978233672</v>
      </c>
      <c r="R39" s="384">
        <f>VLOOKUP($A39,'8.Non-elective admissions - CCG'!$D$5:$Q$215,11,0)*$H39</f>
        <v>3172.4508831623716</v>
      </c>
      <c r="S39" s="384">
        <f>VLOOKUP($A39,'8.Non-elective admissions - CCG'!$D$5:$Q$215,12,0)*$H39</f>
        <v>2955.9976932699524</v>
      </c>
      <c r="T39" s="384">
        <f>VLOOKUP($A39,'8.Non-elective admissions - CCG'!$D$5:$Q$215,13,0)*$H39</f>
        <v>3114.1026319739804</v>
      </c>
      <c r="U39" s="384">
        <f>VLOOKUP($A39,'8.Non-elective admissions - CCG'!$D$5:$Q$215,14,0)*$H39</f>
        <v>3305.1460995746811</v>
      </c>
    </row>
    <row r="40" spans="1:21">
      <c r="A40" s="395" t="s">
        <v>50</v>
      </c>
      <c r="B40" s="395" t="s">
        <v>49</v>
      </c>
      <c r="C40" s="395" t="s">
        <v>736</v>
      </c>
      <c r="D40" s="395" t="s">
        <v>324</v>
      </c>
      <c r="E40" s="537">
        <f>COUNTIF($D$5:D40,D40)</f>
        <v>1</v>
      </c>
      <c r="F40" s="537" t="str">
        <f t="shared" si="0"/>
        <v>North Somerset1</v>
      </c>
      <c r="G40" s="541" t="str">
        <f t="shared" si="1"/>
        <v>NHS Bath and North East Somerset CCG</v>
      </c>
      <c r="H40" s="546">
        <v>1.6887665749311984E-2</v>
      </c>
      <c r="I40" s="546">
        <v>1.5579631535943944E-2</v>
      </c>
      <c r="J40" s="384">
        <f>VLOOKUP($A40,'8.Non-elective admissions - CCG'!$D$5:$N$215,3,0)*$H40</f>
        <v>62.247935951963974</v>
      </c>
      <c r="K40" s="384">
        <f>VLOOKUP($A40,'8.Non-elective admissions - CCG'!$D$5:$N$215,4,0)*$H40</f>
        <v>58.397548161120838</v>
      </c>
      <c r="L40" s="384">
        <f>VLOOKUP($A40,'8.Non-elective admissions - CCG'!$D$5:$N$215,5,0)*$H40</f>
        <v>61.251563672754564</v>
      </c>
      <c r="M40" s="384">
        <f>VLOOKUP($A40,'8.Non-elective admissions - CCG'!$D$5:$N$215,6,0)*$H40</f>
        <v>64.578433825369032</v>
      </c>
      <c r="N40" s="384">
        <f>VLOOKUP($A40,'8.Non-elective admissions - CCG'!$D$5:$N$215,7,0)*$H40</f>
        <v>58.971728796597446</v>
      </c>
      <c r="O40" s="384">
        <f>VLOOKUP($A40,'8.Non-elective admissions - CCG'!$D$5:$N$215,8,0)*$H40</f>
        <v>55.087565674255693</v>
      </c>
      <c r="P40" s="384">
        <f>VLOOKUP($A40,'8.Non-elective admissions - CCG'!$D$5:$N$215,9,0)*$H40</f>
        <v>57.958468851638727</v>
      </c>
      <c r="Q40" s="384">
        <f>VLOOKUP($A40,'8.Non-elective admissions - CCG'!$D$5:$N$215,10,0)*$H40</f>
        <v>61.319114335751813</v>
      </c>
      <c r="R40" s="384">
        <f>VLOOKUP($A40,'8.Non-elective admissions - CCG'!$D$5:$Q$215,11,0)*$H40</f>
        <v>56.9283212409307</v>
      </c>
      <c r="S40" s="384">
        <f>VLOOKUP($A40,'8.Non-elective admissions - CCG'!$D$5:$Q$215,12,0)*$H40</f>
        <v>53.044158118588939</v>
      </c>
      <c r="T40" s="384">
        <f>VLOOKUP($A40,'8.Non-elective admissions - CCG'!$D$5:$Q$215,13,0)*$H40</f>
        <v>55.881285964473356</v>
      </c>
      <c r="U40" s="384">
        <f>VLOOKUP($A40,'8.Non-elective admissions - CCG'!$D$5:$Q$215,14,0)*$H40</f>
        <v>59.309482111583684</v>
      </c>
    </row>
    <row r="41" spans="1:21">
      <c r="A41" s="395" t="s">
        <v>50</v>
      </c>
      <c r="B41" s="395" t="s">
        <v>49</v>
      </c>
      <c r="C41" s="395" t="s">
        <v>762</v>
      </c>
      <c r="D41" s="395" t="s">
        <v>402</v>
      </c>
      <c r="E41" s="537">
        <f>COUNTIF($D$5:D41,D41)</f>
        <v>1</v>
      </c>
      <c r="F41" s="537" t="str">
        <f t="shared" si="0"/>
        <v>Somerset1</v>
      </c>
      <c r="G41" s="541" t="str">
        <f t="shared" si="1"/>
        <v>NHS Bath and North East Somerset CCG</v>
      </c>
      <c r="H41" s="546">
        <v>3.0768076057042782E-2</v>
      </c>
      <c r="I41" s="546">
        <v>1.0989757310270749E-2</v>
      </c>
      <c r="J41" s="384">
        <f>VLOOKUP($A41,'8.Non-elective admissions - CCG'!$D$5:$N$215,3,0)*$H41</f>
        <v>113.4111283462597</v>
      </c>
      <c r="K41" s="384">
        <f>VLOOKUP($A41,'8.Non-elective admissions - CCG'!$D$5:$N$215,4,0)*$H41</f>
        <v>106.39600700525394</v>
      </c>
      <c r="L41" s="384">
        <f>VLOOKUP($A41,'8.Non-elective admissions - CCG'!$D$5:$N$215,5,0)*$H41</f>
        <v>111.59581185889417</v>
      </c>
      <c r="M41" s="384">
        <f>VLOOKUP($A41,'8.Non-elective admissions - CCG'!$D$5:$N$215,6,0)*$H41</f>
        <v>117.6571228421316</v>
      </c>
      <c r="N41" s="384">
        <f>VLOOKUP($A41,'8.Non-elective admissions - CCG'!$D$5:$N$215,7,0)*$H41</f>
        <v>107.4421215911934</v>
      </c>
      <c r="O41" s="384">
        <f>VLOOKUP($A41,'8.Non-elective admissions - CCG'!$D$5:$N$215,8,0)*$H41</f>
        <v>100.36546409807356</v>
      </c>
      <c r="P41" s="384">
        <f>VLOOKUP($A41,'8.Non-elective admissions - CCG'!$D$5:$N$215,9,0)*$H41</f>
        <v>105.59603702777083</v>
      </c>
      <c r="Q41" s="384">
        <f>VLOOKUP($A41,'8.Non-elective admissions - CCG'!$D$5:$N$215,10,0)*$H41</f>
        <v>111.71888416312234</v>
      </c>
      <c r="R41" s="384">
        <f>VLOOKUP($A41,'8.Non-elective admissions - CCG'!$D$5:$Q$215,11,0)*$H41</f>
        <v>103.71918438829123</v>
      </c>
      <c r="S41" s="384">
        <f>VLOOKUP($A41,'8.Non-elective admissions - CCG'!$D$5:$Q$215,12,0)*$H41</f>
        <v>96.642526895171372</v>
      </c>
      <c r="T41" s="384">
        <f>VLOOKUP($A41,'8.Non-elective admissions - CCG'!$D$5:$Q$215,13,0)*$H41</f>
        <v>101.81156367275456</v>
      </c>
      <c r="U41" s="384">
        <f>VLOOKUP($A41,'8.Non-elective admissions - CCG'!$D$5:$Q$215,14,0)*$H41</f>
        <v>108.05748311233425</v>
      </c>
    </row>
    <row r="42" spans="1:21">
      <c r="A42" s="395" t="s">
        <v>50</v>
      </c>
      <c r="B42" s="395" t="s">
        <v>49</v>
      </c>
      <c r="C42" s="395" t="s">
        <v>763</v>
      </c>
      <c r="D42" s="395" t="s">
        <v>405</v>
      </c>
      <c r="E42" s="537">
        <f>COUNTIF($D$5:D42,D42)</f>
        <v>1</v>
      </c>
      <c r="F42" s="537" t="str">
        <f t="shared" si="0"/>
        <v>South Gloucestershire1</v>
      </c>
      <c r="G42" s="541" t="str">
        <f t="shared" si="1"/>
        <v>NHS Bath and North East Somerset CCG</v>
      </c>
      <c r="H42" s="546">
        <v>4.9487115336502374E-3</v>
      </c>
      <c r="I42" s="546">
        <v>3.5658143324824409E-3</v>
      </c>
      <c r="J42" s="384">
        <f>VLOOKUP($A42,'8.Non-elective admissions - CCG'!$D$5:$N$215,3,0)*$H42</f>
        <v>18.240950713034774</v>
      </c>
      <c r="K42" s="384">
        <f>VLOOKUP($A42,'8.Non-elective admissions - CCG'!$D$5:$N$215,4,0)*$H42</f>
        <v>17.112644483362523</v>
      </c>
      <c r="L42" s="384">
        <f>VLOOKUP($A42,'8.Non-elective admissions - CCG'!$D$5:$N$215,5,0)*$H42</f>
        <v>17.948976732549411</v>
      </c>
      <c r="M42" s="384">
        <f>VLOOKUP($A42,'8.Non-elective admissions - CCG'!$D$5:$N$215,6,0)*$H42</f>
        <v>18.923872904678507</v>
      </c>
      <c r="N42" s="384">
        <f>VLOOKUP($A42,'8.Non-elective admissions - CCG'!$D$5:$N$215,7,0)*$H42</f>
        <v>17.280900675506629</v>
      </c>
      <c r="O42" s="384">
        <f>VLOOKUP($A42,'8.Non-elective admissions - CCG'!$D$5:$N$215,8,0)*$H42</f>
        <v>16.142697022767074</v>
      </c>
      <c r="P42" s="384">
        <f>VLOOKUP($A42,'8.Non-elective admissions - CCG'!$D$5:$N$215,9,0)*$H42</f>
        <v>16.983977983487616</v>
      </c>
      <c r="Q42" s="384">
        <f>VLOOKUP($A42,'8.Non-elective admissions - CCG'!$D$5:$N$215,10,0)*$H42</f>
        <v>17.968771578684013</v>
      </c>
      <c r="R42" s="384">
        <f>VLOOKUP($A42,'8.Non-elective admissions - CCG'!$D$5:$Q$215,11,0)*$H42</f>
        <v>16.682106579934949</v>
      </c>
      <c r="S42" s="384">
        <f>VLOOKUP($A42,'8.Non-elective admissions - CCG'!$D$5:$Q$215,12,0)*$H42</f>
        <v>15.543902927195395</v>
      </c>
      <c r="T42" s="384">
        <f>VLOOKUP($A42,'8.Non-elective admissions - CCG'!$D$5:$Q$215,13,0)*$H42</f>
        <v>16.375286464848635</v>
      </c>
      <c r="U42" s="384">
        <f>VLOOKUP($A42,'8.Non-elective admissions - CCG'!$D$5:$Q$215,14,0)*$H42</f>
        <v>17.379874906179634</v>
      </c>
    </row>
    <row r="43" spans="1:21">
      <c r="A43" s="395" t="s">
        <v>50</v>
      </c>
      <c r="B43" s="395" t="s">
        <v>49</v>
      </c>
      <c r="C43" s="395" t="s">
        <v>794</v>
      </c>
      <c r="D43" s="395" t="s">
        <v>498</v>
      </c>
      <c r="E43" s="537">
        <f>COUNTIF($D$5:D43,D43)</f>
        <v>1</v>
      </c>
      <c r="F43" s="537" t="str">
        <f t="shared" si="0"/>
        <v>Wiltshire1</v>
      </c>
      <c r="G43" s="541" t="str">
        <f t="shared" si="1"/>
        <v>NHS Bath and North East Somerset CCG</v>
      </c>
      <c r="H43" s="546">
        <v>6.2947210407805852E-3</v>
      </c>
      <c r="I43" s="546">
        <v>2.6300384679712324E-3</v>
      </c>
      <c r="J43" s="384">
        <f>VLOOKUP($A43,'8.Non-elective admissions - CCG'!$D$5:$N$215,3,0)*$H43</f>
        <v>23.202341756317235</v>
      </c>
      <c r="K43" s="384">
        <f>VLOOKUP($A43,'8.Non-elective admissions - CCG'!$D$5:$N$215,4,0)*$H43</f>
        <v>21.767145359019263</v>
      </c>
      <c r="L43" s="384">
        <f>VLOOKUP($A43,'8.Non-elective admissions - CCG'!$D$5:$N$215,5,0)*$H43</f>
        <v>22.830953214911183</v>
      </c>
      <c r="M43" s="384">
        <f>VLOOKUP($A43,'8.Non-elective admissions - CCG'!$D$5:$N$215,6,0)*$H43</f>
        <v>24.071013259944959</v>
      </c>
      <c r="N43" s="384">
        <f>VLOOKUP($A43,'8.Non-elective admissions - CCG'!$D$5:$N$215,7,0)*$H43</f>
        <v>21.981165874405804</v>
      </c>
      <c r="O43" s="384">
        <f>VLOOKUP($A43,'8.Non-elective admissions - CCG'!$D$5:$N$215,8,0)*$H43</f>
        <v>20.533380035026269</v>
      </c>
      <c r="P43" s="384">
        <f>VLOOKUP($A43,'8.Non-elective admissions - CCG'!$D$5:$N$215,9,0)*$H43</f>
        <v>21.603482611958967</v>
      </c>
      <c r="Q43" s="384">
        <f>VLOOKUP($A43,'8.Non-elective admissions - CCG'!$D$5:$N$215,10,0)*$H43</f>
        <v>22.856132099074305</v>
      </c>
      <c r="R43" s="384">
        <f>VLOOKUP($A43,'8.Non-elective admissions - CCG'!$D$5:$Q$215,11,0)*$H43</f>
        <v>21.219504628471352</v>
      </c>
      <c r="S43" s="384">
        <f>VLOOKUP($A43,'8.Non-elective admissions - CCG'!$D$5:$Q$215,12,0)*$H43</f>
        <v>19.771718789091818</v>
      </c>
      <c r="T43" s="384">
        <f>VLOOKUP($A43,'8.Non-elective admissions - CCG'!$D$5:$Q$215,13,0)*$H43</f>
        <v>20.829231923942956</v>
      </c>
      <c r="U43" s="384">
        <f>VLOOKUP($A43,'8.Non-elective admissions - CCG'!$D$5:$Q$215,14,0)*$H43</f>
        <v>22.107060295221416</v>
      </c>
    </row>
    <row r="44" spans="1:21">
      <c r="A44" s="395" t="s">
        <v>54</v>
      </c>
      <c r="B44" s="395" t="s">
        <v>53</v>
      </c>
      <c r="C44" s="395" t="s">
        <v>654</v>
      </c>
      <c r="D44" s="395" t="s">
        <v>34</v>
      </c>
      <c r="E44" s="537">
        <f>COUNTIF($D$5:D44,D44)</f>
        <v>1</v>
      </c>
      <c r="F44" s="537" t="str">
        <f t="shared" si="0"/>
        <v>Bedford1</v>
      </c>
      <c r="G44" s="541" t="str">
        <f t="shared" si="1"/>
        <v>NHS Bedfordshire CCG</v>
      </c>
      <c r="H44" s="546">
        <v>0.37320792096721411</v>
      </c>
      <c r="I44" s="546">
        <v>0.97349266953502578</v>
      </c>
      <c r="J44" s="384">
        <f>VLOOKUP($A44,'8.Non-elective admissions - CCG'!$D$5:$N$215,3,0)*$H44</f>
        <v>3390.220754066173</v>
      </c>
      <c r="K44" s="384">
        <f>VLOOKUP($A44,'8.Non-elective admissions - CCG'!$D$5:$N$215,4,0)*$H44</f>
        <v>3326.7754075017465</v>
      </c>
      <c r="L44" s="384">
        <f>VLOOKUP($A44,'8.Non-elective admissions - CCG'!$D$5:$N$215,5,0)*$H44</f>
        <v>3407.0151105096975</v>
      </c>
      <c r="M44" s="384">
        <f>VLOOKUP($A44,'8.Non-elective admissions - CCG'!$D$5:$N$215,6,0)*$H44</f>
        <v>3351.7803382065499</v>
      </c>
      <c r="N44" s="384">
        <f>VLOOKUP($A44,'8.Non-elective admissions - CCG'!$D$5:$N$215,7,0)*$H44</f>
        <v>3369.6943184129764</v>
      </c>
      <c r="O44" s="384">
        <f>VLOOKUP($A44,'8.Non-elective admissions - CCG'!$D$5:$N$215,8,0)*$H44</f>
        <v>3306.6221797695171</v>
      </c>
      <c r="P44" s="384">
        <f>VLOOKUP($A44,'8.Non-elective admissions - CCG'!$D$5:$N$215,9,0)*$H44</f>
        <v>3306.9953876904842</v>
      </c>
      <c r="Q44" s="384">
        <f>VLOOKUP($A44,'8.Non-elective admissions - CCG'!$D$5:$N$215,10,0)*$H44</f>
        <v>3286.4689520372876</v>
      </c>
      <c r="R44" s="384">
        <f>VLOOKUP($A44,'8.Non-elective admissions - CCG'!$D$5:$Q$215,11,0)*$H44</f>
        <v>3462.9962986547798</v>
      </c>
      <c r="S44" s="384">
        <f>VLOOKUP($A44,'8.Non-elective admissions - CCG'!$D$5:$Q$215,12,0)*$H44</f>
        <v>3399.5509520903533</v>
      </c>
      <c r="T44" s="384">
        <f>VLOOKUP($A44,'8.Non-elective admissions - CCG'!$D$5:$Q$215,13,0)*$H44</f>
        <v>3399.9241600113205</v>
      </c>
      <c r="U44" s="384">
        <f>VLOOKUP($A44,'8.Non-elective admissions - CCG'!$D$5:$Q$215,14,0)*$H44</f>
        <v>3379.3977243581239</v>
      </c>
    </row>
    <row r="45" spans="1:21">
      <c r="A45" s="395" t="s">
        <v>54</v>
      </c>
      <c r="B45" s="395" t="s">
        <v>53</v>
      </c>
      <c r="C45" s="395" t="s">
        <v>667</v>
      </c>
      <c r="D45" s="395" t="s">
        <v>86</v>
      </c>
      <c r="E45" s="537">
        <f>COUNTIF($D$5:D45,D45)</f>
        <v>2</v>
      </c>
      <c r="F45" s="537" t="str">
        <f t="shared" si="0"/>
        <v>Buckinghamshire2</v>
      </c>
      <c r="G45" s="541" t="str">
        <f t="shared" si="1"/>
        <v>NHS Bedfordshire CCG</v>
      </c>
      <c r="H45" s="546">
        <v>6.2905180114445408E-3</v>
      </c>
      <c r="I45" s="546">
        <v>5.3450216149292379E-3</v>
      </c>
      <c r="J45" s="384">
        <f>VLOOKUP($A45,'8.Non-elective admissions - CCG'!$D$5:$N$215,3,0)*$H45</f>
        <v>57.143065615962207</v>
      </c>
      <c r="K45" s="384">
        <f>VLOOKUP($A45,'8.Non-elective admissions - CCG'!$D$5:$N$215,4,0)*$H45</f>
        <v>56.073677554016633</v>
      </c>
      <c r="L45" s="384">
        <f>VLOOKUP($A45,'8.Non-elective admissions - CCG'!$D$5:$N$215,5,0)*$H45</f>
        <v>57.426138926477215</v>
      </c>
      <c r="M45" s="384">
        <f>VLOOKUP($A45,'8.Non-elective admissions - CCG'!$D$5:$N$215,6,0)*$H45</f>
        <v>56.495142260783417</v>
      </c>
      <c r="N45" s="384">
        <f>VLOOKUP($A45,'8.Non-elective admissions - CCG'!$D$5:$N$215,7,0)*$H45</f>
        <v>56.797087125332759</v>
      </c>
      <c r="O45" s="384">
        <f>VLOOKUP($A45,'8.Non-elective admissions - CCG'!$D$5:$N$215,8,0)*$H45</f>
        <v>55.733989581398632</v>
      </c>
      <c r="P45" s="384">
        <f>VLOOKUP($A45,'8.Non-elective admissions - CCG'!$D$5:$N$215,9,0)*$H45</f>
        <v>55.740280099410079</v>
      </c>
      <c r="Q45" s="384">
        <f>VLOOKUP($A45,'8.Non-elective admissions - CCG'!$D$5:$N$215,10,0)*$H45</f>
        <v>55.394301608780623</v>
      </c>
      <c r="R45" s="384">
        <f>VLOOKUP($A45,'8.Non-elective admissions - CCG'!$D$5:$Q$215,11,0)*$H45</f>
        <v>58.369716628193892</v>
      </c>
      <c r="S45" s="384">
        <f>VLOOKUP($A45,'8.Non-elective admissions - CCG'!$D$5:$Q$215,12,0)*$H45</f>
        <v>57.300328566248325</v>
      </c>
      <c r="T45" s="384">
        <f>VLOOKUP($A45,'8.Non-elective admissions - CCG'!$D$5:$Q$215,13,0)*$H45</f>
        <v>57.306619084259765</v>
      </c>
      <c r="U45" s="384">
        <f>VLOOKUP($A45,'8.Non-elective admissions - CCG'!$D$5:$Q$215,14,0)*$H45</f>
        <v>56.960640593630316</v>
      </c>
    </row>
    <row r="46" spans="1:21">
      <c r="A46" s="395" t="s">
        <v>54</v>
      </c>
      <c r="B46" s="395" t="s">
        <v>53</v>
      </c>
      <c r="C46" s="395" t="s">
        <v>670</v>
      </c>
      <c r="D46" s="395" t="s">
        <v>98</v>
      </c>
      <c r="E46" s="537">
        <f>COUNTIF($D$5:D46,D46)</f>
        <v>1</v>
      </c>
      <c r="F46" s="537" t="str">
        <f t="shared" si="0"/>
        <v>Cambridgeshire1</v>
      </c>
      <c r="G46" s="541" t="str">
        <f t="shared" si="1"/>
        <v>NHS Bedfordshire CCG</v>
      </c>
      <c r="H46" s="546">
        <v>1.1296399479954361E-2</v>
      </c>
      <c r="I46" s="546">
        <v>7.6005522264604528E-3</v>
      </c>
      <c r="J46" s="384">
        <f>VLOOKUP($A46,'8.Non-elective admissions - CCG'!$D$5:$N$215,3,0)*$H46</f>
        <v>102.61649287590542</v>
      </c>
      <c r="K46" s="384">
        <f>VLOOKUP($A46,'8.Non-elective admissions - CCG'!$D$5:$N$215,4,0)*$H46</f>
        <v>100.69610496431318</v>
      </c>
      <c r="L46" s="384">
        <f>VLOOKUP($A46,'8.Non-elective admissions - CCG'!$D$5:$N$215,5,0)*$H46</f>
        <v>103.12483085250337</v>
      </c>
      <c r="M46" s="384">
        <f>VLOOKUP($A46,'8.Non-elective admissions - CCG'!$D$5:$N$215,6,0)*$H46</f>
        <v>101.45296372947011</v>
      </c>
      <c r="N46" s="384">
        <f>VLOOKUP($A46,'8.Non-elective admissions - CCG'!$D$5:$N$215,7,0)*$H46</f>
        <v>101.99519090450792</v>
      </c>
      <c r="O46" s="384">
        <f>VLOOKUP($A46,'8.Non-elective admissions - CCG'!$D$5:$N$215,8,0)*$H46</f>
        <v>100.08609939239564</v>
      </c>
      <c r="P46" s="384">
        <f>VLOOKUP($A46,'8.Non-elective admissions - CCG'!$D$5:$N$215,9,0)*$H46</f>
        <v>100.0973957918756</v>
      </c>
      <c r="Q46" s="384">
        <f>VLOOKUP($A46,'8.Non-elective admissions - CCG'!$D$5:$N$215,10,0)*$H46</f>
        <v>99.476093820478113</v>
      </c>
      <c r="R46" s="384">
        <f>VLOOKUP($A46,'8.Non-elective admissions - CCG'!$D$5:$Q$215,11,0)*$H46</f>
        <v>104.81929077449652</v>
      </c>
      <c r="S46" s="384">
        <f>VLOOKUP($A46,'8.Non-elective admissions - CCG'!$D$5:$Q$215,12,0)*$H46</f>
        <v>102.89890286290428</v>
      </c>
      <c r="T46" s="384">
        <f>VLOOKUP($A46,'8.Non-elective admissions - CCG'!$D$5:$Q$215,13,0)*$H46</f>
        <v>102.91019926238422</v>
      </c>
      <c r="U46" s="384">
        <f>VLOOKUP($A46,'8.Non-elective admissions - CCG'!$D$5:$Q$215,14,0)*$H46</f>
        <v>102.28889729098674</v>
      </c>
    </row>
    <row r="47" spans="1:21">
      <c r="A47" s="395" t="s">
        <v>54</v>
      </c>
      <c r="B47" s="395" t="s">
        <v>53</v>
      </c>
      <c r="C47" s="395" t="s">
        <v>672</v>
      </c>
      <c r="D47" s="395" t="s">
        <v>106</v>
      </c>
      <c r="E47" s="537">
        <f>COUNTIF($D$5:D47,D47)</f>
        <v>2</v>
      </c>
      <c r="F47" s="537" t="str">
        <f t="shared" si="0"/>
        <v>Central Bedfordshire2</v>
      </c>
      <c r="G47" s="541" t="str">
        <f t="shared" si="1"/>
        <v>NHS Bedfordshire CCG</v>
      </c>
      <c r="H47" s="546">
        <v>0.56971751262525749</v>
      </c>
      <c r="I47" s="546">
        <v>0.95046017078883782</v>
      </c>
      <c r="J47" s="384">
        <f>VLOOKUP($A47,'8.Non-elective admissions - CCG'!$D$5:$N$215,3,0)*$H47</f>
        <v>5175.3138846878392</v>
      </c>
      <c r="K47" s="384">
        <f>VLOOKUP($A47,'8.Non-elective admissions - CCG'!$D$5:$N$215,4,0)*$H47</f>
        <v>5078.4619075415449</v>
      </c>
      <c r="L47" s="384">
        <f>VLOOKUP($A47,'8.Non-elective admissions - CCG'!$D$5:$N$215,5,0)*$H47</f>
        <v>5200.9511727559757</v>
      </c>
      <c r="M47" s="384">
        <f>VLOOKUP($A47,'8.Non-elective admissions - CCG'!$D$5:$N$215,6,0)*$H47</f>
        <v>5116.632980887438</v>
      </c>
      <c r="N47" s="384">
        <f>VLOOKUP($A47,'8.Non-elective admissions - CCG'!$D$5:$N$215,7,0)*$H47</f>
        <v>5143.97942149345</v>
      </c>
      <c r="O47" s="384">
        <f>VLOOKUP($A47,'8.Non-elective admissions - CCG'!$D$5:$N$215,8,0)*$H47</f>
        <v>5047.6971618597818</v>
      </c>
      <c r="P47" s="384">
        <f>VLOOKUP($A47,'8.Non-elective admissions - CCG'!$D$5:$N$215,9,0)*$H47</f>
        <v>5048.2668793724069</v>
      </c>
      <c r="Q47" s="384">
        <f>VLOOKUP($A47,'8.Non-elective admissions - CCG'!$D$5:$N$215,10,0)*$H47</f>
        <v>5016.9324161780178</v>
      </c>
      <c r="R47" s="384">
        <f>VLOOKUP($A47,'8.Non-elective admissions - CCG'!$D$5:$Q$215,11,0)*$H47</f>
        <v>5286.4087996497647</v>
      </c>
      <c r="S47" s="384">
        <f>VLOOKUP($A47,'8.Non-elective admissions - CCG'!$D$5:$Q$215,12,0)*$H47</f>
        <v>5189.5568225034704</v>
      </c>
      <c r="T47" s="384">
        <f>VLOOKUP($A47,'8.Non-elective admissions - CCG'!$D$5:$Q$215,13,0)*$H47</f>
        <v>5190.1265400160955</v>
      </c>
      <c r="U47" s="384">
        <f>VLOOKUP($A47,'8.Non-elective admissions - CCG'!$D$5:$Q$215,14,0)*$H47</f>
        <v>5158.7920768217064</v>
      </c>
    </row>
    <row r="48" spans="1:21">
      <c r="A48" s="395" t="s">
        <v>54</v>
      </c>
      <c r="B48" s="395" t="s">
        <v>53</v>
      </c>
      <c r="C48" s="395" t="s">
        <v>705</v>
      </c>
      <c r="D48" s="395" t="s">
        <v>227</v>
      </c>
      <c r="E48" s="537">
        <f>COUNTIF($D$5:D48,D48)</f>
        <v>3</v>
      </c>
      <c r="F48" s="537" t="str">
        <f t="shared" si="0"/>
        <v>Hertfordshire3</v>
      </c>
      <c r="G48" s="541" t="str">
        <f t="shared" si="1"/>
        <v>NHS Bedfordshire CCG</v>
      </c>
      <c r="H48" s="546">
        <v>9.5076370647492183E-4</v>
      </c>
      <c r="I48" s="546">
        <v>0</v>
      </c>
      <c r="J48" s="384">
        <f>VLOOKUP($A48,'8.Non-elective admissions - CCG'!$D$5:$N$215,3,0)*$H48</f>
        <v>8.6367375096181895</v>
      </c>
      <c r="K48" s="384">
        <f>VLOOKUP($A48,'8.Non-elective admissions - CCG'!$D$5:$N$215,4,0)*$H48</f>
        <v>8.4751076795174534</v>
      </c>
      <c r="L48" s="384">
        <f>VLOOKUP($A48,'8.Non-elective admissions - CCG'!$D$5:$N$215,5,0)*$H48</f>
        <v>8.6795218764095612</v>
      </c>
      <c r="M48" s="384">
        <f>VLOOKUP($A48,'8.Non-elective admissions - CCG'!$D$5:$N$215,6,0)*$H48</f>
        <v>8.5388088478512731</v>
      </c>
      <c r="N48" s="384">
        <f>VLOOKUP($A48,'8.Non-elective admissions - CCG'!$D$5:$N$215,7,0)*$H48</f>
        <v>8.5844455057620692</v>
      </c>
      <c r="O48" s="384">
        <f>VLOOKUP($A48,'8.Non-elective admissions - CCG'!$D$5:$N$215,8,0)*$H48</f>
        <v>8.4237664393678067</v>
      </c>
      <c r="P48" s="384">
        <f>VLOOKUP($A48,'8.Non-elective admissions - CCG'!$D$5:$N$215,9,0)*$H48</f>
        <v>8.4247172030742821</v>
      </c>
      <c r="Q48" s="384">
        <f>VLOOKUP($A48,'8.Non-elective admissions - CCG'!$D$5:$N$215,10,0)*$H48</f>
        <v>8.3724251992181618</v>
      </c>
      <c r="R48" s="384">
        <f>VLOOKUP($A48,'8.Non-elective admissions - CCG'!$D$5:$Q$215,11,0)*$H48</f>
        <v>8.8221364323808</v>
      </c>
      <c r="S48" s="384">
        <f>VLOOKUP($A48,'8.Non-elective admissions - CCG'!$D$5:$Q$215,12,0)*$H48</f>
        <v>8.6605066022800639</v>
      </c>
      <c r="T48" s="384">
        <f>VLOOKUP($A48,'8.Non-elective admissions - CCG'!$D$5:$Q$215,13,0)*$H48</f>
        <v>8.6614573659865375</v>
      </c>
      <c r="U48" s="384">
        <f>VLOOKUP($A48,'8.Non-elective admissions - CCG'!$D$5:$Q$215,14,0)*$H48</f>
        <v>8.6091653621304172</v>
      </c>
    </row>
    <row r="49" spans="1:21">
      <c r="A49" s="395" t="s">
        <v>54</v>
      </c>
      <c r="B49" s="395" t="s">
        <v>53</v>
      </c>
      <c r="C49" s="395" t="s">
        <v>725</v>
      </c>
      <c r="D49" s="395" t="s">
        <v>291</v>
      </c>
      <c r="E49" s="537">
        <f>COUNTIF($D$5:D49,D49)</f>
        <v>1</v>
      </c>
      <c r="F49" s="537" t="str">
        <f t="shared" si="0"/>
        <v>Luton1</v>
      </c>
      <c r="G49" s="541" t="str">
        <f t="shared" si="1"/>
        <v>NHS Bedfordshire CCG</v>
      </c>
      <c r="H49" s="546">
        <v>2.2628176214103141E-2</v>
      </c>
      <c r="I49" s="546">
        <v>4.5458785485525947E-2</v>
      </c>
      <c r="J49" s="384">
        <f>VLOOKUP($A49,'8.Non-elective admissions - CCG'!$D$5:$N$215,3,0)*$H49</f>
        <v>205.55435272891293</v>
      </c>
      <c r="K49" s="384">
        <f>VLOOKUP($A49,'8.Non-elective admissions - CCG'!$D$5:$N$215,4,0)*$H49</f>
        <v>201.70756277251539</v>
      </c>
      <c r="L49" s="384">
        <f>VLOOKUP($A49,'8.Non-elective admissions - CCG'!$D$5:$N$215,5,0)*$H49</f>
        <v>206.57262065854758</v>
      </c>
      <c r="M49" s="384">
        <f>VLOOKUP($A49,'8.Non-elective admissions - CCG'!$D$5:$N$215,6,0)*$H49</f>
        <v>203.22365057886032</v>
      </c>
      <c r="N49" s="384">
        <f>VLOOKUP($A49,'8.Non-elective admissions - CCG'!$D$5:$N$215,7,0)*$H49</f>
        <v>204.30980303713727</v>
      </c>
      <c r="O49" s="384">
        <f>VLOOKUP($A49,'8.Non-elective admissions - CCG'!$D$5:$N$215,8,0)*$H49</f>
        <v>200.48564125695384</v>
      </c>
      <c r="P49" s="384">
        <f>VLOOKUP($A49,'8.Non-elective admissions - CCG'!$D$5:$N$215,9,0)*$H49</f>
        <v>200.50826943316792</v>
      </c>
      <c r="Q49" s="384">
        <f>VLOOKUP($A49,'8.Non-elective admissions - CCG'!$D$5:$N$215,10,0)*$H49</f>
        <v>199.26371974139226</v>
      </c>
      <c r="R49" s="384">
        <f>VLOOKUP($A49,'8.Non-elective admissions - CCG'!$D$5:$Q$215,11,0)*$H49</f>
        <v>209.96684709066304</v>
      </c>
      <c r="S49" s="384">
        <f>VLOOKUP($A49,'8.Non-elective admissions - CCG'!$D$5:$Q$215,12,0)*$H49</f>
        <v>206.12005713426552</v>
      </c>
      <c r="T49" s="384">
        <f>VLOOKUP($A49,'8.Non-elective admissions - CCG'!$D$5:$Q$215,13,0)*$H49</f>
        <v>206.14268531047961</v>
      </c>
      <c r="U49" s="384">
        <f>VLOOKUP($A49,'8.Non-elective admissions - CCG'!$D$5:$Q$215,14,0)*$H49</f>
        <v>204.89813561870395</v>
      </c>
    </row>
    <row r="50" spans="1:21">
      <c r="A50" s="395" t="s">
        <v>54</v>
      </c>
      <c r="B50" s="395" t="s">
        <v>53</v>
      </c>
      <c r="C50" s="395" t="s">
        <v>730</v>
      </c>
      <c r="D50" s="395" t="s">
        <v>306</v>
      </c>
      <c r="E50" s="537">
        <f>COUNTIF($D$5:D50,D50)</f>
        <v>1</v>
      </c>
      <c r="F50" s="537" t="str">
        <f t="shared" si="0"/>
        <v>Milton Keynes1</v>
      </c>
      <c r="G50" s="541" t="str">
        <f t="shared" si="1"/>
        <v>NHS Bedfordshire CCG</v>
      </c>
      <c r="H50" s="546">
        <v>1.4982267151335047E-2</v>
      </c>
      <c r="I50" s="546">
        <v>2.4693607577176636E-2</v>
      </c>
      <c r="J50" s="384">
        <f>VLOOKUP($A50,'8.Non-elective admissions - CCG'!$D$5:$N$215,3,0)*$H50</f>
        <v>136.09891480272756</v>
      </c>
      <c r="K50" s="384">
        <f>VLOOKUP($A50,'8.Non-elective admissions - CCG'!$D$5:$N$215,4,0)*$H50</f>
        <v>133.55192938700063</v>
      </c>
      <c r="L50" s="384">
        <f>VLOOKUP($A50,'8.Non-elective admissions - CCG'!$D$5:$N$215,5,0)*$H50</f>
        <v>136.77311682453765</v>
      </c>
      <c r="M50" s="384">
        <f>VLOOKUP($A50,'8.Non-elective admissions - CCG'!$D$5:$N$215,6,0)*$H50</f>
        <v>134.55574128614006</v>
      </c>
      <c r="N50" s="384">
        <f>VLOOKUP($A50,'8.Non-elective admissions - CCG'!$D$5:$N$215,7,0)*$H50</f>
        <v>135.27489010940414</v>
      </c>
      <c r="O50" s="384">
        <f>VLOOKUP($A50,'8.Non-elective admissions - CCG'!$D$5:$N$215,8,0)*$H50</f>
        <v>132.74288696082851</v>
      </c>
      <c r="P50" s="384">
        <f>VLOOKUP($A50,'8.Non-elective admissions - CCG'!$D$5:$N$215,9,0)*$H50</f>
        <v>132.75786922797985</v>
      </c>
      <c r="Q50" s="384">
        <f>VLOOKUP($A50,'8.Non-elective admissions - CCG'!$D$5:$N$215,10,0)*$H50</f>
        <v>131.93384453465643</v>
      </c>
      <c r="R50" s="384">
        <f>VLOOKUP($A50,'8.Non-elective admissions - CCG'!$D$5:$Q$215,11,0)*$H50</f>
        <v>139.02045689723789</v>
      </c>
      <c r="S50" s="384">
        <f>VLOOKUP($A50,'8.Non-elective admissions - CCG'!$D$5:$Q$215,12,0)*$H50</f>
        <v>136.47347148151096</v>
      </c>
      <c r="T50" s="384">
        <f>VLOOKUP($A50,'8.Non-elective admissions - CCG'!$D$5:$Q$215,13,0)*$H50</f>
        <v>136.48845374866229</v>
      </c>
      <c r="U50" s="384">
        <f>VLOOKUP($A50,'8.Non-elective admissions - CCG'!$D$5:$Q$215,14,0)*$H50</f>
        <v>135.66442905533884</v>
      </c>
    </row>
    <row r="51" spans="1:21">
      <c r="A51" s="395" t="s">
        <v>54</v>
      </c>
      <c r="B51" s="395" t="s">
        <v>53</v>
      </c>
      <c r="C51" s="395" t="s">
        <v>739</v>
      </c>
      <c r="D51" s="395" t="s">
        <v>333</v>
      </c>
      <c r="E51" s="537">
        <f>COUNTIF($D$5:D51,D51)</f>
        <v>2</v>
      </c>
      <c r="F51" s="537" t="str">
        <f t="shared" si="0"/>
        <v>Northamptonshire2</v>
      </c>
      <c r="G51" s="541" t="str">
        <f t="shared" si="1"/>
        <v>NHS Bedfordshire CCG</v>
      </c>
      <c r="H51" s="546">
        <v>9.2644184421626099E-4</v>
      </c>
      <c r="I51" s="546">
        <v>0</v>
      </c>
      <c r="J51" s="384">
        <f>VLOOKUP($A51,'8.Non-elective admissions - CCG'!$D$5:$N$215,3,0)*$H51</f>
        <v>8.415797712860515</v>
      </c>
      <c r="K51" s="384">
        <f>VLOOKUP($A51,'8.Non-elective admissions - CCG'!$D$5:$N$215,4,0)*$H51</f>
        <v>8.2583025993437502</v>
      </c>
      <c r="L51" s="384">
        <f>VLOOKUP($A51,'8.Non-elective admissions - CCG'!$D$5:$N$215,5,0)*$H51</f>
        <v>8.457487595850246</v>
      </c>
      <c r="M51" s="384">
        <f>VLOOKUP($A51,'8.Non-elective admissions - CCG'!$D$5:$N$215,6,0)*$H51</f>
        <v>8.3203742029062404</v>
      </c>
      <c r="N51" s="384">
        <f>VLOOKUP($A51,'8.Non-elective admissions - CCG'!$D$5:$N$215,7,0)*$H51</f>
        <v>8.3648434114286196</v>
      </c>
      <c r="O51" s="384">
        <f>VLOOKUP($A51,'8.Non-elective admissions - CCG'!$D$5:$N$215,8,0)*$H51</f>
        <v>8.2082747397560727</v>
      </c>
      <c r="P51" s="384">
        <f>VLOOKUP($A51,'8.Non-elective admissions - CCG'!$D$5:$N$215,9,0)*$H51</f>
        <v>8.2092011816002888</v>
      </c>
      <c r="Q51" s="384">
        <f>VLOOKUP($A51,'8.Non-elective admissions - CCG'!$D$5:$N$215,10,0)*$H51</f>
        <v>8.1582468801683934</v>
      </c>
      <c r="R51" s="384">
        <f>VLOOKUP($A51,'8.Non-elective admissions - CCG'!$D$5:$Q$215,11,0)*$H51</f>
        <v>8.5964538724826856</v>
      </c>
      <c r="S51" s="384">
        <f>VLOOKUP($A51,'8.Non-elective admissions - CCG'!$D$5:$Q$215,12,0)*$H51</f>
        <v>8.4389587589659207</v>
      </c>
      <c r="T51" s="384">
        <f>VLOOKUP($A51,'8.Non-elective admissions - CCG'!$D$5:$Q$215,13,0)*$H51</f>
        <v>8.4398852008101368</v>
      </c>
      <c r="U51" s="384">
        <f>VLOOKUP($A51,'8.Non-elective admissions - CCG'!$D$5:$Q$215,14,0)*$H51</f>
        <v>8.3889308993782432</v>
      </c>
    </row>
    <row r="52" spans="1:21">
      <c r="A52" s="395" t="s">
        <v>58</v>
      </c>
      <c r="B52" s="395" t="s">
        <v>57</v>
      </c>
      <c r="C52" s="395" t="s">
        <v>655</v>
      </c>
      <c r="D52" s="395" t="s">
        <v>39</v>
      </c>
      <c r="E52" s="537">
        <f>COUNTIF($D$5:D52,D52)</f>
        <v>1</v>
      </c>
      <c r="F52" s="537" t="str">
        <f t="shared" si="0"/>
        <v>Bexley1</v>
      </c>
      <c r="G52" s="541" t="str">
        <f t="shared" si="1"/>
        <v>NHS Bexley CCG</v>
      </c>
      <c r="H52" s="546">
        <v>0.93728069402077119</v>
      </c>
      <c r="I52" s="546">
        <v>0.89517225700247971</v>
      </c>
      <c r="J52" s="384">
        <f>VLOOKUP($A52,'8.Non-elective admissions - CCG'!$D$5:$N$215,3,0)*$H52</f>
        <v>4531.7521555904286</v>
      </c>
      <c r="K52" s="384">
        <f>VLOOKUP($A52,'8.Non-elective admissions - CCG'!$D$5:$N$215,4,0)*$H52</f>
        <v>4607.6718918061115</v>
      </c>
      <c r="L52" s="384">
        <f>VLOOKUP($A52,'8.Non-elective admissions - CCG'!$D$5:$N$215,5,0)*$H52</f>
        <v>4615.1701373582773</v>
      </c>
      <c r="M52" s="384">
        <f>VLOOKUP($A52,'8.Non-elective admissions - CCG'!$D$5:$N$215,6,0)*$H52</f>
        <v>4557.0587343289899</v>
      </c>
      <c r="N52" s="384">
        <f>VLOOKUP($A52,'8.Non-elective admissions - CCG'!$D$5:$N$215,7,0)*$H52</f>
        <v>4350.2509590703812</v>
      </c>
      <c r="O52" s="384">
        <f>VLOOKUP($A52,'8.Non-elective admissions - CCG'!$D$5:$N$215,8,0)*$H52</f>
        <v>4392.9781192562941</v>
      </c>
      <c r="P52" s="384">
        <f>VLOOKUP($A52,'8.Non-elective admissions - CCG'!$D$5:$N$215,9,0)*$H52</f>
        <v>4420.1592593828964</v>
      </c>
      <c r="Q52" s="384">
        <f>VLOOKUP($A52,'8.Non-elective admissions - CCG'!$D$5:$N$215,10,0)*$H52</f>
        <v>4277.5308166758023</v>
      </c>
      <c r="R52" s="384">
        <f>VLOOKUP($A52,'8.Non-elective admissions - CCG'!$D$5:$Q$215,11,0)*$H52</f>
        <v>4279.2834031755392</v>
      </c>
      <c r="S52" s="384">
        <f>VLOOKUP($A52,'8.Non-elective admissions - CCG'!$D$5:$Q$215,12,0)*$H52</f>
        <v>4322.3533769807909</v>
      </c>
      <c r="T52" s="384">
        <f>VLOOKUP($A52,'8.Non-elective admissions - CCG'!$D$5:$Q$215,13,0)*$H52</f>
        <v>4346.7226750253312</v>
      </c>
      <c r="U52" s="384">
        <f>VLOOKUP($A52,'8.Non-elective admissions - CCG'!$D$5:$Q$215,14,0)*$H52</f>
        <v>4208.095008540291</v>
      </c>
    </row>
    <row r="53" spans="1:21">
      <c r="A53" s="395" t="s">
        <v>58</v>
      </c>
      <c r="B53" s="395" t="s">
        <v>57</v>
      </c>
      <c r="C53" s="395" t="s">
        <v>666</v>
      </c>
      <c r="D53" s="395" t="s">
        <v>83</v>
      </c>
      <c r="E53" s="537">
        <f>COUNTIF($D$5:D53,D53)</f>
        <v>1</v>
      </c>
      <c r="F53" s="537" t="str">
        <f t="shared" si="0"/>
        <v>Bromley1</v>
      </c>
      <c r="G53" s="541" t="str">
        <f t="shared" si="1"/>
        <v>NHS Bexley CCG</v>
      </c>
      <c r="H53" s="546">
        <v>1.7015499091918959E-3</v>
      </c>
      <c r="I53" s="546">
        <v>1.1880615206571888E-3</v>
      </c>
      <c r="J53" s="384">
        <f>VLOOKUP($A53,'8.Non-elective admissions - CCG'!$D$5:$N$215,3,0)*$H53</f>
        <v>8.2269938109428171</v>
      </c>
      <c r="K53" s="384">
        <f>VLOOKUP($A53,'8.Non-elective admissions - CCG'!$D$5:$N$215,4,0)*$H53</f>
        <v>8.364819353587361</v>
      </c>
      <c r="L53" s="384">
        <f>VLOOKUP($A53,'8.Non-elective admissions - CCG'!$D$5:$N$215,5,0)*$H53</f>
        <v>8.3784317528608963</v>
      </c>
      <c r="M53" s="384">
        <f>VLOOKUP($A53,'8.Non-elective admissions - CCG'!$D$5:$N$215,6,0)*$H53</f>
        <v>8.2729356584909972</v>
      </c>
      <c r="N53" s="384">
        <f>VLOOKUP($A53,'8.Non-elective admissions - CCG'!$D$5:$N$215,7,0)*$H53</f>
        <v>7.8974944982747335</v>
      </c>
      <c r="O53" s="384">
        <f>VLOOKUP($A53,'8.Non-elective admissions - CCG'!$D$5:$N$215,8,0)*$H53</f>
        <v>7.9750618652312522</v>
      </c>
      <c r="P53" s="384">
        <f>VLOOKUP($A53,'8.Non-elective admissions - CCG'!$D$5:$N$215,9,0)*$H53</f>
        <v>8.0244068125978174</v>
      </c>
      <c r="Q53" s="384">
        <f>VLOOKUP($A53,'8.Non-elective admissions - CCG'!$D$5:$N$215,10,0)*$H53</f>
        <v>7.7654775342240754</v>
      </c>
      <c r="R53" s="384">
        <f>VLOOKUP($A53,'8.Non-elective admissions - CCG'!$D$5:$Q$215,11,0)*$H53</f>
        <v>7.7686591994589413</v>
      </c>
      <c r="S53" s="384">
        <f>VLOOKUP($A53,'8.Non-elective admissions - CCG'!$D$5:$Q$215,12,0)*$H53</f>
        <v>7.8468489141140472</v>
      </c>
      <c r="T53" s="384">
        <f>VLOOKUP($A53,'8.Non-elective admissions - CCG'!$D$5:$Q$215,13,0)*$H53</f>
        <v>7.8910892117530365</v>
      </c>
      <c r="U53" s="384">
        <f>VLOOKUP($A53,'8.Non-elective admissions - CCG'!$D$5:$Q$215,14,0)*$H53</f>
        <v>7.6394229875110637</v>
      </c>
    </row>
    <row r="54" spans="1:21">
      <c r="A54" s="395" t="s">
        <v>58</v>
      </c>
      <c r="B54" s="395" t="s">
        <v>57</v>
      </c>
      <c r="C54" s="395" t="s">
        <v>695</v>
      </c>
      <c r="D54" s="395" t="s">
        <v>192</v>
      </c>
      <c r="E54" s="537">
        <f>COUNTIF($D$5:D54,D54)</f>
        <v>1</v>
      </c>
      <c r="F54" s="537" t="str">
        <f t="shared" si="0"/>
        <v>Greenwich1</v>
      </c>
      <c r="G54" s="541" t="str">
        <f t="shared" si="1"/>
        <v>NHS Bexley CCG</v>
      </c>
      <c r="H54" s="546">
        <v>5.0037028547246662E-2</v>
      </c>
      <c r="I54" s="546">
        <v>4.4812121499238057E-2</v>
      </c>
      <c r="J54" s="384">
        <f>VLOOKUP($A54,'8.Non-elective admissions - CCG'!$D$5:$N$215,3,0)*$H54</f>
        <v>241.9290330259376</v>
      </c>
      <c r="K54" s="384">
        <f>VLOOKUP($A54,'8.Non-elective admissions - CCG'!$D$5:$N$215,4,0)*$H54</f>
        <v>245.98203233826459</v>
      </c>
      <c r="L54" s="384">
        <f>VLOOKUP($A54,'8.Non-elective admissions - CCG'!$D$5:$N$215,5,0)*$H54</f>
        <v>246.38232856664257</v>
      </c>
      <c r="M54" s="384">
        <f>VLOOKUP($A54,'8.Non-elective admissions - CCG'!$D$5:$N$215,6,0)*$H54</f>
        <v>243.28003279671327</v>
      </c>
      <c r="N54" s="384">
        <f>VLOOKUP($A54,'8.Non-elective admissions - CCG'!$D$5:$N$215,7,0)*$H54</f>
        <v>232.23953380807384</v>
      </c>
      <c r="O54" s="384">
        <f>VLOOKUP($A54,'8.Non-elective admissions - CCG'!$D$5:$N$215,8,0)*$H54</f>
        <v>234.52053687108793</v>
      </c>
      <c r="P54" s="384">
        <f>VLOOKUP($A54,'8.Non-elective admissions - CCG'!$D$5:$N$215,9,0)*$H54</f>
        <v>235.97161069895807</v>
      </c>
      <c r="Q54" s="384">
        <f>VLOOKUP($A54,'8.Non-elective admissions - CCG'!$D$5:$N$215,10,0)*$H54</f>
        <v>228.35734583154789</v>
      </c>
      <c r="R54" s="384">
        <f>VLOOKUP($A54,'8.Non-elective admissions - CCG'!$D$5:$Q$215,11,0)*$H54</f>
        <v>228.45090822035868</v>
      </c>
      <c r="S54" s="384">
        <f>VLOOKUP($A54,'8.Non-elective admissions - CCG'!$D$5:$Q$215,12,0)*$H54</f>
        <v>230.75021249769057</v>
      </c>
      <c r="T54" s="384">
        <f>VLOOKUP($A54,'8.Non-elective admissions - CCG'!$D$5:$Q$215,13,0)*$H54</f>
        <v>232.05117523991896</v>
      </c>
      <c r="U54" s="384">
        <f>VLOOKUP($A54,'8.Non-elective admissions - CCG'!$D$5:$Q$215,14,0)*$H54</f>
        <v>224.65049308610904</v>
      </c>
    </row>
    <row r="55" spans="1:21">
      <c r="A55" s="395" t="s">
        <v>58</v>
      </c>
      <c r="B55" s="395" t="s">
        <v>57</v>
      </c>
      <c r="C55" s="395" t="s">
        <v>712</v>
      </c>
      <c r="D55" s="395" t="s">
        <v>252</v>
      </c>
      <c r="E55" s="537">
        <f>COUNTIF($D$5:D55,D55)</f>
        <v>2</v>
      </c>
      <c r="F55" s="537" t="str">
        <f t="shared" si="0"/>
        <v>Kent2</v>
      </c>
      <c r="G55" s="541" t="str">
        <f t="shared" si="1"/>
        <v>NHS Bexley CCG</v>
      </c>
      <c r="H55" s="546">
        <v>1.0980727522790189E-2</v>
      </c>
      <c r="I55" s="546">
        <v>1.6238623673970679E-3</v>
      </c>
      <c r="J55" s="384">
        <f>VLOOKUP($A55,'8.Non-elective admissions - CCG'!$D$5:$N$215,3,0)*$H55</f>
        <v>53.091817572690566</v>
      </c>
      <c r="K55" s="384">
        <f>VLOOKUP($A55,'8.Non-elective admissions - CCG'!$D$5:$N$215,4,0)*$H55</f>
        <v>53.981256502036565</v>
      </c>
      <c r="L55" s="384">
        <f>VLOOKUP($A55,'8.Non-elective admissions - CCG'!$D$5:$N$215,5,0)*$H55</f>
        <v>54.069102322218889</v>
      </c>
      <c r="M55" s="384">
        <f>VLOOKUP($A55,'8.Non-elective admissions - CCG'!$D$5:$N$215,6,0)*$H55</f>
        <v>53.388297215805899</v>
      </c>
      <c r="N55" s="384">
        <f>VLOOKUP($A55,'8.Non-elective admissions - CCG'!$D$5:$N$215,7,0)*$H55</f>
        <v>50.965437293270369</v>
      </c>
      <c r="O55" s="384">
        <f>VLOOKUP($A55,'8.Non-elective admissions - CCG'!$D$5:$N$215,8,0)*$H55</f>
        <v>51.466008047386133</v>
      </c>
      <c r="P55" s="384">
        <f>VLOOKUP($A55,'8.Non-elective admissions - CCG'!$D$5:$N$215,9,0)*$H55</f>
        <v>51.78444914554705</v>
      </c>
      <c r="Q55" s="384">
        <f>VLOOKUP($A55,'8.Non-elective admissions - CCG'!$D$5:$N$215,10,0)*$H55</f>
        <v>50.113483258425319</v>
      </c>
      <c r="R55" s="384">
        <f>VLOOKUP($A55,'8.Non-elective admissions - CCG'!$D$5:$Q$215,11,0)*$H55</f>
        <v>50.13401571464307</v>
      </c>
      <c r="S55" s="384">
        <f>VLOOKUP($A55,'8.Non-elective admissions - CCG'!$D$5:$Q$215,12,0)*$H55</f>
        <v>50.638602707404388</v>
      </c>
      <c r="T55" s="384">
        <f>VLOOKUP($A55,'8.Non-elective admissions - CCG'!$D$5:$Q$215,13,0)*$H55</f>
        <v>50.924101622996929</v>
      </c>
      <c r="U55" s="384">
        <f>VLOOKUP($A55,'8.Non-elective admissions - CCG'!$D$5:$Q$215,14,0)*$H55</f>
        <v>49.300006896088242</v>
      </c>
    </row>
    <row r="56" spans="1:21">
      <c r="A56" s="395" t="s">
        <v>1208</v>
      </c>
      <c r="B56" s="395" t="s">
        <v>1209</v>
      </c>
      <c r="C56" s="395" t="s">
        <v>656</v>
      </c>
      <c r="D56" s="395" t="s">
        <v>45</v>
      </c>
      <c r="E56" s="537">
        <f>COUNTIF($D$5:D56,D56)</f>
        <v>1</v>
      </c>
      <c r="F56" s="537" t="str">
        <f t="shared" si="0"/>
        <v>Birmingham1</v>
      </c>
      <c r="G56" s="541" t="str">
        <f t="shared" si="1"/>
        <v>NHS Birmingham Crosscity CCG</v>
      </c>
      <c r="H56" s="546">
        <v>0.92077050419502393</v>
      </c>
      <c r="I56" s="546">
        <v>0.57672512967485412</v>
      </c>
      <c r="J56" s="384">
        <f>VLOOKUP($A56,'8.Non-elective admissions - CCG'!$D$5:$N$215,3,0)*$H56</f>
        <v>17509.371907772576</v>
      </c>
      <c r="K56" s="384">
        <f>VLOOKUP($A56,'8.Non-elective admissions - CCG'!$D$5:$N$215,4,0)*$H56</f>
        <v>17307.723167353866</v>
      </c>
      <c r="L56" s="384">
        <f>VLOOKUP($A56,'8.Non-elective admissions - CCG'!$D$5:$N$215,5,0)*$H56</f>
        <v>18378.579263732678</v>
      </c>
      <c r="M56" s="384">
        <f>VLOOKUP($A56,'8.Non-elective admissions - CCG'!$D$5:$N$215,6,0)*$H56</f>
        <v>18427.380100455015</v>
      </c>
      <c r="N56" s="384">
        <f>VLOOKUP($A56,'8.Non-elective admissions - CCG'!$D$5:$N$215,7,0)*$H56</f>
        <v>18039.523940972944</v>
      </c>
      <c r="O56" s="384">
        <f>VLOOKUP($A56,'8.Non-elective admissions - CCG'!$D$5:$N$215,8,0)*$H56</f>
        <v>18039.523940972944</v>
      </c>
      <c r="P56" s="384">
        <f>VLOOKUP($A56,'8.Non-elective admissions - CCG'!$D$5:$N$215,9,0)*$H56</f>
        <v>18039.523940972944</v>
      </c>
      <c r="Q56" s="384">
        <f>VLOOKUP($A56,'8.Non-elective admissions - CCG'!$D$5:$N$215,10,0)*$H56</f>
        <v>18039.523940972944</v>
      </c>
      <c r="R56" s="384">
        <f>VLOOKUP($A56,'8.Non-elective admissions - CCG'!$D$5:$Q$215,11,0)*$H56</f>
        <v>18021.983262868031</v>
      </c>
      <c r="S56" s="384">
        <f>VLOOKUP($A56,'8.Non-elective admissions - CCG'!$D$5:$Q$215,12,0)*$H56</f>
        <v>18021.983262868031</v>
      </c>
      <c r="T56" s="384">
        <f>VLOOKUP($A56,'8.Non-elective admissions - CCG'!$D$5:$Q$215,13,0)*$H56</f>
        <v>18021.983262868031</v>
      </c>
      <c r="U56" s="384">
        <f>VLOOKUP($A56,'8.Non-elective admissions - CCG'!$D$5:$Q$215,14,0)*$H56</f>
        <v>18021.983262868031</v>
      </c>
    </row>
    <row r="57" spans="1:21">
      <c r="A57" s="395" t="s">
        <v>1208</v>
      </c>
      <c r="B57" s="395" t="s">
        <v>1209</v>
      </c>
      <c r="C57" s="395" t="s">
        <v>687</v>
      </c>
      <c r="D57" s="395" t="s">
        <v>162</v>
      </c>
      <c r="E57" s="537">
        <f>COUNTIF($D$5:D57,D57)</f>
        <v>1</v>
      </c>
      <c r="F57" s="537" t="str">
        <f t="shared" si="0"/>
        <v>Dudley1</v>
      </c>
      <c r="G57" s="541" t="str">
        <f t="shared" si="1"/>
        <v>NHS Birmingham Crosscity CCG</v>
      </c>
      <c r="H57" s="546">
        <v>2.176391057597162E-3</v>
      </c>
      <c r="I57" s="546">
        <v>5.0523310539143879E-3</v>
      </c>
      <c r="J57" s="384">
        <f>VLOOKUP($A57,'8.Non-elective admissions - CCG'!$D$5:$N$215,3,0)*$H57</f>
        <v>41.386252351267636</v>
      </c>
      <c r="K57" s="384">
        <f>VLOOKUP($A57,'8.Non-elective admissions - CCG'!$D$5:$N$215,4,0)*$H57</f>
        <v>40.909622709653853</v>
      </c>
      <c r="L57" s="384">
        <f>VLOOKUP($A57,'8.Non-elective admissions - CCG'!$D$5:$N$215,5,0)*$H57</f>
        <v>43.440765509639355</v>
      </c>
      <c r="M57" s="384">
        <f>VLOOKUP($A57,'8.Non-elective admissions - CCG'!$D$5:$N$215,6,0)*$H57</f>
        <v>43.556114235692</v>
      </c>
      <c r="N57" s="384">
        <f>VLOOKUP($A57,'8.Non-elective admissions - CCG'!$D$5:$N$215,7,0)*$H57</f>
        <v>42.639353030500352</v>
      </c>
      <c r="O57" s="384">
        <f>VLOOKUP($A57,'8.Non-elective admissions - CCG'!$D$5:$N$215,8,0)*$H57</f>
        <v>42.639353030500352</v>
      </c>
      <c r="P57" s="384">
        <f>VLOOKUP($A57,'8.Non-elective admissions - CCG'!$D$5:$N$215,9,0)*$H57</f>
        <v>42.639353030500352</v>
      </c>
      <c r="Q57" s="384">
        <f>VLOOKUP($A57,'8.Non-elective admissions - CCG'!$D$5:$N$215,10,0)*$H57</f>
        <v>42.639353030500352</v>
      </c>
      <c r="R57" s="384">
        <f>VLOOKUP($A57,'8.Non-elective admissions - CCG'!$D$5:$Q$215,11,0)*$H57</f>
        <v>42.59789278085313</v>
      </c>
      <c r="S57" s="384">
        <f>VLOOKUP($A57,'8.Non-elective admissions - CCG'!$D$5:$Q$215,12,0)*$H57</f>
        <v>42.59789278085313</v>
      </c>
      <c r="T57" s="384">
        <f>VLOOKUP($A57,'8.Non-elective admissions - CCG'!$D$5:$Q$215,13,0)*$H57</f>
        <v>42.59789278085313</v>
      </c>
      <c r="U57" s="384">
        <f>VLOOKUP($A57,'8.Non-elective admissions - CCG'!$D$5:$Q$215,14,0)*$H57</f>
        <v>42.59789278085313</v>
      </c>
    </row>
    <row r="58" spans="1:21">
      <c r="A58" s="395" t="s">
        <v>1208</v>
      </c>
      <c r="B58" s="395" t="s">
        <v>1209</v>
      </c>
      <c r="C58" s="395" t="s">
        <v>756</v>
      </c>
      <c r="D58" s="395" t="s">
        <v>384</v>
      </c>
      <c r="E58" s="537">
        <f>COUNTIF($D$5:D58,D58)</f>
        <v>1</v>
      </c>
      <c r="F58" s="537" t="str">
        <f t="shared" si="0"/>
        <v>Sandwell1</v>
      </c>
      <c r="G58" s="541" t="str">
        <f t="shared" si="1"/>
        <v>NHS Birmingham Crosscity CCG</v>
      </c>
      <c r="H58" s="546">
        <v>2.7118289069307511E-2</v>
      </c>
      <c r="I58" s="546">
        <v>6.0423665686429963E-2</v>
      </c>
      <c r="J58" s="384">
        <f>VLOOKUP($A58,'8.Non-elective admissions - CCG'!$D$5:$N$215,3,0)*$H58</f>
        <v>515.68138494195159</v>
      </c>
      <c r="K58" s="384">
        <f>VLOOKUP($A58,'8.Non-elective admissions - CCG'!$D$5:$N$215,4,0)*$H58</f>
        <v>509.74247963577329</v>
      </c>
      <c r="L58" s="384">
        <f>VLOOKUP($A58,'8.Non-elective admissions - CCG'!$D$5:$N$215,5,0)*$H58</f>
        <v>541.28104982337788</v>
      </c>
      <c r="M58" s="384">
        <f>VLOOKUP($A58,'8.Non-elective admissions - CCG'!$D$5:$N$215,6,0)*$H58</f>
        <v>542.71831914405118</v>
      </c>
      <c r="N58" s="384">
        <f>VLOOKUP($A58,'8.Non-elective admissions - CCG'!$D$5:$N$215,7,0)*$H58</f>
        <v>531.29528223938678</v>
      </c>
      <c r="O58" s="384">
        <f>VLOOKUP($A58,'8.Non-elective admissions - CCG'!$D$5:$N$215,8,0)*$H58</f>
        <v>531.29528223938678</v>
      </c>
      <c r="P58" s="384">
        <f>VLOOKUP($A58,'8.Non-elective admissions - CCG'!$D$5:$N$215,9,0)*$H58</f>
        <v>531.29528223938678</v>
      </c>
      <c r="Q58" s="384">
        <f>VLOOKUP($A58,'8.Non-elective admissions - CCG'!$D$5:$N$215,10,0)*$H58</f>
        <v>531.29528223938678</v>
      </c>
      <c r="R58" s="384">
        <f>VLOOKUP($A58,'8.Non-elective admissions - CCG'!$D$5:$Q$215,11,0)*$H58</f>
        <v>530.77867883261649</v>
      </c>
      <c r="S58" s="384">
        <f>VLOOKUP($A58,'8.Non-elective admissions - CCG'!$D$5:$Q$215,12,0)*$H58</f>
        <v>530.77867883261649</v>
      </c>
      <c r="T58" s="384">
        <f>VLOOKUP($A58,'8.Non-elective admissions - CCG'!$D$5:$Q$215,13,0)*$H58</f>
        <v>530.77867883261649</v>
      </c>
      <c r="U58" s="384">
        <f>VLOOKUP($A58,'8.Non-elective admissions - CCG'!$D$5:$Q$215,14,0)*$H58</f>
        <v>530.77867883261649</v>
      </c>
    </row>
    <row r="59" spans="1:21">
      <c r="A59" s="395" t="s">
        <v>1208</v>
      </c>
      <c r="B59" s="395" t="s">
        <v>1209</v>
      </c>
      <c r="C59" s="395" t="s">
        <v>761</v>
      </c>
      <c r="D59" s="395" t="s">
        <v>399</v>
      </c>
      <c r="E59" s="537">
        <f>COUNTIF($D$5:D59,D59)</f>
        <v>1</v>
      </c>
      <c r="F59" s="537" t="str">
        <f t="shared" si="0"/>
        <v>Solihull1</v>
      </c>
      <c r="G59" s="541" t="str">
        <f t="shared" si="1"/>
        <v>NHS Birmingham Crosscity CCG</v>
      </c>
      <c r="H59" s="546">
        <v>2.0295081571029428E-2</v>
      </c>
      <c r="I59" s="546">
        <v>6.8711589512345905E-2</v>
      </c>
      <c r="J59" s="384">
        <f>VLOOKUP($A59,'8.Non-elective admissions - CCG'!$D$5:$N$215,3,0)*$H59</f>
        <v>385.93127115469559</v>
      </c>
      <c r="K59" s="384">
        <f>VLOOKUP($A59,'8.Non-elective admissions - CCG'!$D$5:$N$215,4,0)*$H59</f>
        <v>381.48664829064018</v>
      </c>
      <c r="L59" s="384">
        <f>VLOOKUP($A59,'8.Non-elective admissions - CCG'!$D$5:$N$215,5,0)*$H59</f>
        <v>405.08982815774738</v>
      </c>
      <c r="M59" s="384">
        <f>VLOOKUP($A59,'8.Non-elective admissions - CCG'!$D$5:$N$215,6,0)*$H59</f>
        <v>406.16546748101194</v>
      </c>
      <c r="N59" s="384">
        <f>VLOOKUP($A59,'8.Non-elective admissions - CCG'!$D$5:$N$215,7,0)*$H59</f>
        <v>397.61657027084721</v>
      </c>
      <c r="O59" s="384">
        <f>VLOOKUP($A59,'8.Non-elective admissions - CCG'!$D$5:$N$215,8,0)*$H59</f>
        <v>397.61657027084721</v>
      </c>
      <c r="P59" s="384">
        <f>VLOOKUP($A59,'8.Non-elective admissions - CCG'!$D$5:$N$215,9,0)*$H59</f>
        <v>397.61657027084721</v>
      </c>
      <c r="Q59" s="384">
        <f>VLOOKUP($A59,'8.Non-elective admissions - CCG'!$D$5:$N$215,10,0)*$H59</f>
        <v>397.61657027084721</v>
      </c>
      <c r="R59" s="384">
        <f>VLOOKUP($A59,'8.Non-elective admissions - CCG'!$D$5:$Q$215,11,0)*$H59</f>
        <v>397.22994896691915</v>
      </c>
      <c r="S59" s="384">
        <f>VLOOKUP($A59,'8.Non-elective admissions - CCG'!$D$5:$Q$215,12,0)*$H59</f>
        <v>397.22994896691915</v>
      </c>
      <c r="T59" s="384">
        <f>VLOOKUP($A59,'8.Non-elective admissions - CCG'!$D$5:$Q$215,13,0)*$H59</f>
        <v>397.22994896691915</v>
      </c>
      <c r="U59" s="384">
        <f>VLOOKUP($A59,'8.Non-elective admissions - CCG'!$D$5:$Q$215,14,0)*$H59</f>
        <v>397.22994896691915</v>
      </c>
    </row>
    <row r="60" spans="1:21">
      <c r="A60" s="395" t="s">
        <v>1208</v>
      </c>
      <c r="B60" s="395" t="s">
        <v>1209</v>
      </c>
      <c r="C60" s="395" t="s">
        <v>769</v>
      </c>
      <c r="D60" s="395" t="s">
        <v>423</v>
      </c>
      <c r="E60" s="537">
        <f>COUNTIF($D$5:D60,D60)</f>
        <v>1</v>
      </c>
      <c r="F60" s="537" t="str">
        <f t="shared" si="0"/>
        <v>Staffordshire1</v>
      </c>
      <c r="G60" s="541" t="str">
        <f t="shared" si="1"/>
        <v>NHS Birmingham Crosscity CCG</v>
      </c>
      <c r="H60" s="546">
        <v>5.0697425252849374E-3</v>
      </c>
      <c r="I60" s="546">
        <v>4.3418668187546576E-3</v>
      </c>
      <c r="J60" s="384">
        <f>VLOOKUP($A60,'8.Non-elective admissions - CCG'!$D$5:$N$215,3,0)*$H60</f>
        <v>96.406223860818372</v>
      </c>
      <c r="K60" s="384">
        <f>VLOOKUP($A60,'8.Non-elective admissions - CCG'!$D$5:$N$215,4,0)*$H60</f>
        <v>95.295950247780965</v>
      </c>
      <c r="L60" s="384">
        <f>VLOOKUP($A60,'8.Non-elective admissions - CCG'!$D$5:$N$215,5,0)*$H60</f>
        <v>101.19206080468734</v>
      </c>
      <c r="M60" s="384">
        <f>VLOOKUP($A60,'8.Non-elective admissions - CCG'!$D$5:$N$215,6,0)*$H60</f>
        <v>101.46075715852746</v>
      </c>
      <c r="N60" s="384">
        <f>VLOOKUP($A60,'8.Non-elective admissions - CCG'!$D$5:$N$215,7,0)*$H60</f>
        <v>99.325229514601688</v>
      </c>
      <c r="O60" s="384">
        <f>VLOOKUP($A60,'8.Non-elective admissions - CCG'!$D$5:$N$215,8,0)*$H60</f>
        <v>99.325229514601688</v>
      </c>
      <c r="P60" s="384">
        <f>VLOOKUP($A60,'8.Non-elective admissions - CCG'!$D$5:$N$215,9,0)*$H60</f>
        <v>99.325229514601688</v>
      </c>
      <c r="Q60" s="384">
        <f>VLOOKUP($A60,'8.Non-elective admissions - CCG'!$D$5:$N$215,10,0)*$H60</f>
        <v>99.325229514601688</v>
      </c>
      <c r="R60" s="384">
        <f>VLOOKUP($A60,'8.Non-elective admissions - CCG'!$D$5:$Q$215,11,0)*$H60</f>
        <v>99.22865091949501</v>
      </c>
      <c r="S60" s="384">
        <f>VLOOKUP($A60,'8.Non-elective admissions - CCG'!$D$5:$Q$215,12,0)*$H60</f>
        <v>99.22865091949501</v>
      </c>
      <c r="T60" s="384">
        <f>VLOOKUP($A60,'8.Non-elective admissions - CCG'!$D$5:$Q$215,13,0)*$H60</f>
        <v>99.22865091949501</v>
      </c>
      <c r="U60" s="384">
        <f>VLOOKUP($A60,'8.Non-elective admissions - CCG'!$D$5:$Q$215,14,0)*$H60</f>
        <v>99.22865091949501</v>
      </c>
    </row>
    <row r="61" spans="1:21">
      <c r="A61" s="395" t="s">
        <v>1208</v>
      </c>
      <c r="B61" s="395" t="s">
        <v>1209</v>
      </c>
      <c r="C61" s="395" t="s">
        <v>785</v>
      </c>
      <c r="D61" s="395" t="s">
        <v>471</v>
      </c>
      <c r="E61" s="537">
        <f>COUNTIF($D$5:D61,D61)</f>
        <v>1</v>
      </c>
      <c r="F61" s="537" t="str">
        <f t="shared" si="0"/>
        <v>Walsall1</v>
      </c>
      <c r="G61" s="541" t="str">
        <f t="shared" si="1"/>
        <v>NHS Birmingham Crosscity CCG</v>
      </c>
      <c r="H61" s="546">
        <v>1.8031420051529846E-2</v>
      </c>
      <c r="I61" s="546">
        <v>4.8173150732102765E-2</v>
      </c>
      <c r="J61" s="384">
        <f>VLOOKUP($A61,'8.Non-elective admissions - CCG'!$D$5:$N$215,3,0)*$H61</f>
        <v>342.88548369989155</v>
      </c>
      <c r="K61" s="384">
        <f>VLOOKUP($A61,'8.Non-elective admissions - CCG'!$D$5:$N$215,4,0)*$H61</f>
        <v>338.93660270860653</v>
      </c>
      <c r="L61" s="384">
        <f>VLOOKUP($A61,'8.Non-elective admissions - CCG'!$D$5:$N$215,5,0)*$H61</f>
        <v>359.90714422853574</v>
      </c>
      <c r="M61" s="384">
        <f>VLOOKUP($A61,'8.Non-elective admissions - CCG'!$D$5:$N$215,6,0)*$H61</f>
        <v>360.86280949126683</v>
      </c>
      <c r="N61" s="384">
        <f>VLOOKUP($A61,'8.Non-elective admissions - CCG'!$D$5:$N$215,7,0)*$H61</f>
        <v>353.26743442296089</v>
      </c>
      <c r="O61" s="384">
        <f>VLOOKUP($A61,'8.Non-elective admissions - CCG'!$D$5:$N$215,8,0)*$H61</f>
        <v>353.26743442296089</v>
      </c>
      <c r="P61" s="384">
        <f>VLOOKUP($A61,'8.Non-elective admissions - CCG'!$D$5:$N$215,9,0)*$H61</f>
        <v>353.26743442296089</v>
      </c>
      <c r="Q61" s="384">
        <f>VLOOKUP($A61,'8.Non-elective admissions - CCG'!$D$5:$N$215,10,0)*$H61</f>
        <v>353.26743442296089</v>
      </c>
      <c r="R61" s="384">
        <f>VLOOKUP($A61,'8.Non-elective admissions - CCG'!$D$5:$Q$215,11,0)*$H61</f>
        <v>352.92393587097928</v>
      </c>
      <c r="S61" s="384">
        <f>VLOOKUP($A61,'8.Non-elective admissions - CCG'!$D$5:$Q$215,12,0)*$H61</f>
        <v>352.92393587097928</v>
      </c>
      <c r="T61" s="384">
        <f>VLOOKUP($A61,'8.Non-elective admissions - CCG'!$D$5:$Q$215,13,0)*$H61</f>
        <v>352.92393587097928</v>
      </c>
      <c r="U61" s="384">
        <f>VLOOKUP($A61,'8.Non-elective admissions - CCG'!$D$5:$Q$215,14,0)*$H61</f>
        <v>352.92393587097928</v>
      </c>
    </row>
    <row r="62" spans="1:21">
      <c r="A62" s="395" t="s">
        <v>1208</v>
      </c>
      <c r="B62" s="395" t="s">
        <v>1209</v>
      </c>
      <c r="C62" s="395" t="s">
        <v>789</v>
      </c>
      <c r="D62" s="395" t="s">
        <v>483</v>
      </c>
      <c r="E62" s="537">
        <f>COUNTIF($D$5:D62,D62)</f>
        <v>1</v>
      </c>
      <c r="F62" s="537" t="str">
        <f t="shared" si="0"/>
        <v>Warwickshire1</v>
      </c>
      <c r="G62" s="541" t="str">
        <f t="shared" si="1"/>
        <v>NHS Birmingham Crosscity CCG</v>
      </c>
      <c r="H62" s="546">
        <v>1.4097536153467119E-3</v>
      </c>
      <c r="I62" s="546">
        <v>1.8275235489463024E-3</v>
      </c>
      <c r="J62" s="384">
        <f>VLOOKUP($A62,'8.Non-elective admissions - CCG'!$D$5:$N$215,3,0)*$H62</f>
        <v>26.807874749433072</v>
      </c>
      <c r="K62" s="384">
        <f>VLOOKUP($A62,'8.Non-elective admissions - CCG'!$D$5:$N$215,4,0)*$H62</f>
        <v>26.499138707672142</v>
      </c>
      <c r="L62" s="384">
        <f>VLOOKUP($A62,'8.Non-elective admissions - CCG'!$D$5:$N$215,5,0)*$H62</f>
        <v>28.138682162320368</v>
      </c>
      <c r="M62" s="384">
        <f>VLOOKUP($A62,'8.Non-elective admissions - CCG'!$D$5:$N$215,6,0)*$H62</f>
        <v>28.213399103933746</v>
      </c>
      <c r="N62" s="384">
        <f>VLOOKUP($A62,'8.Non-elective admissions - CCG'!$D$5:$N$215,7,0)*$H62</f>
        <v>27.619568588541249</v>
      </c>
      <c r="O62" s="384">
        <f>VLOOKUP($A62,'8.Non-elective admissions - CCG'!$D$5:$N$215,8,0)*$H62</f>
        <v>27.619568588541249</v>
      </c>
      <c r="P62" s="384">
        <f>VLOOKUP($A62,'8.Non-elective admissions - CCG'!$D$5:$N$215,9,0)*$H62</f>
        <v>27.619568588541249</v>
      </c>
      <c r="Q62" s="384">
        <f>VLOOKUP($A62,'8.Non-elective admissions - CCG'!$D$5:$N$215,10,0)*$H62</f>
        <v>27.619568588541249</v>
      </c>
      <c r="R62" s="384">
        <f>VLOOKUP($A62,'8.Non-elective admissions - CCG'!$D$5:$Q$215,11,0)*$H62</f>
        <v>27.592712782168896</v>
      </c>
      <c r="S62" s="384">
        <f>VLOOKUP($A62,'8.Non-elective admissions - CCG'!$D$5:$Q$215,12,0)*$H62</f>
        <v>27.592712782168896</v>
      </c>
      <c r="T62" s="384">
        <f>VLOOKUP($A62,'8.Non-elective admissions - CCG'!$D$5:$Q$215,13,0)*$H62</f>
        <v>27.592712782168896</v>
      </c>
      <c r="U62" s="384">
        <f>VLOOKUP($A62,'8.Non-elective admissions - CCG'!$D$5:$Q$215,14,0)*$H62</f>
        <v>27.592712782168896</v>
      </c>
    </row>
    <row r="63" spans="1:21">
      <c r="A63" s="395" t="s">
        <v>1208</v>
      </c>
      <c r="B63" s="395" t="s">
        <v>1209</v>
      </c>
      <c r="C63" s="395" t="s">
        <v>799</v>
      </c>
      <c r="D63" s="395" t="s">
        <v>513</v>
      </c>
      <c r="E63" s="537">
        <f>COUNTIF($D$5:D63,D63)</f>
        <v>1</v>
      </c>
      <c r="F63" s="537" t="str">
        <f t="shared" si="0"/>
        <v>Worcestershire1</v>
      </c>
      <c r="G63" s="541" t="str">
        <f t="shared" si="1"/>
        <v>NHS Birmingham Crosscity CCG</v>
      </c>
      <c r="H63" s="546">
        <v>5.1288179148804187E-3</v>
      </c>
      <c r="I63" s="546">
        <v>6.4786611219277233E-3</v>
      </c>
      <c r="J63" s="384">
        <f>VLOOKUP($A63,'8.Non-elective admissions - CCG'!$D$5:$N$215,3,0)*$H63</f>
        <v>97.529601469366042</v>
      </c>
      <c r="K63" s="384">
        <f>VLOOKUP($A63,'8.Non-elective admissions - CCG'!$D$5:$N$215,4,0)*$H63</f>
        <v>96.406390346007228</v>
      </c>
      <c r="L63" s="384">
        <f>VLOOKUP($A63,'8.Non-elective admissions - CCG'!$D$5:$N$215,5,0)*$H63</f>
        <v>102.37120558101316</v>
      </c>
      <c r="M63" s="384">
        <f>VLOOKUP($A63,'8.Non-elective admissions - CCG'!$D$5:$N$215,6,0)*$H63</f>
        <v>102.64303293050182</v>
      </c>
      <c r="N63" s="384">
        <f>VLOOKUP($A63,'8.Non-elective admissions - CCG'!$D$5:$N$215,7,0)*$H63</f>
        <v>100.48262096021675</v>
      </c>
      <c r="O63" s="384">
        <f>VLOOKUP($A63,'8.Non-elective admissions - CCG'!$D$5:$N$215,8,0)*$H63</f>
        <v>100.48262096021675</v>
      </c>
      <c r="P63" s="384">
        <f>VLOOKUP($A63,'8.Non-elective admissions - CCG'!$D$5:$N$215,9,0)*$H63</f>
        <v>100.48262096021675</v>
      </c>
      <c r="Q63" s="384">
        <f>VLOOKUP($A63,'8.Non-elective admissions - CCG'!$D$5:$N$215,10,0)*$H63</f>
        <v>100.48262096021675</v>
      </c>
      <c r="R63" s="384">
        <f>VLOOKUP($A63,'8.Non-elective admissions - CCG'!$D$5:$Q$215,11,0)*$H63</f>
        <v>100.38491697893828</v>
      </c>
      <c r="S63" s="384">
        <f>VLOOKUP($A63,'8.Non-elective admissions - CCG'!$D$5:$Q$215,12,0)*$H63</f>
        <v>100.38491697893828</v>
      </c>
      <c r="T63" s="384">
        <f>VLOOKUP($A63,'8.Non-elective admissions - CCG'!$D$5:$Q$215,13,0)*$H63</f>
        <v>100.38491697893828</v>
      </c>
      <c r="U63" s="384">
        <f>VLOOKUP($A63,'8.Non-elective admissions - CCG'!$D$5:$Q$215,14,0)*$H63</f>
        <v>100.38491697893828</v>
      </c>
    </row>
    <row r="64" spans="1:21">
      <c r="A64" s="395" t="s">
        <v>66</v>
      </c>
      <c r="B64" s="395" t="s">
        <v>65</v>
      </c>
      <c r="C64" s="395" t="s">
        <v>656</v>
      </c>
      <c r="D64" s="395" t="s">
        <v>45</v>
      </c>
      <c r="E64" s="537">
        <f>COUNTIF($D$5:D64,D64)</f>
        <v>2</v>
      </c>
      <c r="F64" s="537" t="str">
        <f t="shared" si="0"/>
        <v>Birmingham2</v>
      </c>
      <c r="G64" s="541" t="str">
        <f t="shared" si="1"/>
        <v>NHS Birmingham South and Central CCG</v>
      </c>
      <c r="H64" s="546">
        <v>0.96953000451496141</v>
      </c>
      <c r="I64" s="546">
        <v>0.20405961343101831</v>
      </c>
      <c r="J64" s="384">
        <f>VLOOKUP($A64,'8.Non-elective admissions - CCG'!$D$5:$N$215,3,0)*$H64</f>
        <v>5565.1022259158781</v>
      </c>
      <c r="K64" s="384">
        <f>VLOOKUP($A64,'8.Non-elective admissions - CCG'!$D$5:$N$215,4,0)*$H64</f>
        <v>5338.2322048593778</v>
      </c>
      <c r="L64" s="384">
        <f>VLOOKUP($A64,'8.Non-elective admissions - CCG'!$D$5:$N$215,5,0)*$H64</f>
        <v>5541.833505807519</v>
      </c>
      <c r="M64" s="384">
        <f>VLOOKUP($A64,'8.Non-elective admissions - CCG'!$D$5:$N$215,6,0)*$H64</f>
        <v>5666.9028763899496</v>
      </c>
      <c r="N64" s="384">
        <f>VLOOKUP($A64,'8.Non-elective admissions - CCG'!$D$5:$N$215,7,0)*$H64</f>
        <v>5705.2235498184036</v>
      </c>
      <c r="O64" s="384">
        <f>VLOOKUP($A64,'8.Non-elective admissions - CCG'!$D$5:$N$215,8,0)*$H64</f>
        <v>5475.6630829993737</v>
      </c>
      <c r="P64" s="384">
        <f>VLOOKUP($A64,'8.Non-elective admissions - CCG'!$D$5:$N$215,9,0)*$H64</f>
        <v>5679.38557519808</v>
      </c>
      <c r="Q64" s="384">
        <f>VLOOKUP($A64,'8.Non-elective admissions - CCG'!$D$5:$N$215,10,0)*$H64</f>
        <v>5805.5941435358145</v>
      </c>
      <c r="R64" s="384">
        <f>VLOOKUP($A64,'8.Non-elective admissions - CCG'!$D$5:$Q$215,11,0)*$H64</f>
        <v>5847.8541385638628</v>
      </c>
      <c r="S64" s="384">
        <f>VLOOKUP($A64,'8.Non-elective admissions - CCG'!$D$5:$Q$215,12,0)*$H64</f>
        <v>5612.5546600743583</v>
      </c>
      <c r="T64" s="384">
        <f>VLOOKUP($A64,'8.Non-elective admissions - CCG'!$D$5:$Q$215,13,0)*$H64</f>
        <v>5821.3702145780308</v>
      </c>
      <c r="U64" s="384">
        <f>VLOOKUP($A64,'8.Non-elective admissions - CCG'!$D$5:$Q$215,14,0)*$H64</f>
        <v>5950.73399712421</v>
      </c>
    </row>
    <row r="65" spans="1:21">
      <c r="A65" s="395" t="s">
        <v>66</v>
      </c>
      <c r="B65" s="395" t="s">
        <v>65</v>
      </c>
      <c r="C65" s="395" t="s">
        <v>756</v>
      </c>
      <c r="D65" s="395" t="s">
        <v>384</v>
      </c>
      <c r="E65" s="537">
        <f>COUNTIF($D$5:D65,D65)</f>
        <v>2</v>
      </c>
      <c r="F65" s="537" t="str">
        <f t="shared" si="0"/>
        <v>Sandwell2</v>
      </c>
      <c r="G65" s="541" t="str">
        <f t="shared" si="1"/>
        <v>NHS Birmingham South and Central CCG</v>
      </c>
      <c r="H65" s="546">
        <v>2.377346880880937E-3</v>
      </c>
      <c r="I65" s="546">
        <v>1.7799822300933669E-3</v>
      </c>
      <c r="J65" s="384">
        <f>VLOOKUP($A65,'8.Non-elective admissions - CCG'!$D$5:$N$215,3,0)*$H65</f>
        <v>13.645971096256579</v>
      </c>
      <c r="K65" s="384">
        <f>VLOOKUP($A65,'8.Non-elective admissions - CCG'!$D$5:$N$215,4,0)*$H65</f>
        <v>13.089671926130439</v>
      </c>
      <c r="L65" s="384">
        <f>VLOOKUP($A65,'8.Non-elective admissions - CCG'!$D$5:$N$215,5,0)*$H65</f>
        <v>13.588914771115435</v>
      </c>
      <c r="M65" s="384">
        <f>VLOOKUP($A65,'8.Non-elective admissions - CCG'!$D$5:$N$215,6,0)*$H65</f>
        <v>13.895592518749076</v>
      </c>
      <c r="N65" s="384">
        <f>VLOOKUP($A65,'8.Non-elective admissions - CCG'!$D$5:$N$215,7,0)*$H65</f>
        <v>13.989557154215897</v>
      </c>
      <c r="O65" s="384">
        <f>VLOOKUP($A65,'8.Non-elective admissions - CCG'!$D$5:$N$215,8,0)*$H65</f>
        <v>13.426660846495311</v>
      </c>
      <c r="P65" s="384">
        <f>VLOOKUP($A65,'8.Non-elective admissions - CCG'!$D$5:$N$215,9,0)*$H65</f>
        <v>13.926200859840419</v>
      </c>
      <c r="Q65" s="384">
        <f>VLOOKUP($A65,'8.Non-elective admissions - CCG'!$D$5:$N$215,10,0)*$H65</f>
        <v>14.235671990059096</v>
      </c>
      <c r="R65" s="384">
        <f>VLOOKUP($A65,'8.Non-elective admissions - CCG'!$D$5:$Q$215,11,0)*$H65</f>
        <v>14.339296083071291</v>
      </c>
      <c r="S65" s="384">
        <f>VLOOKUP($A65,'8.Non-elective admissions - CCG'!$D$5:$Q$215,12,0)*$H65</f>
        <v>13.762327367657695</v>
      </c>
      <c r="T65" s="384">
        <f>VLOOKUP($A65,'8.Non-elective admissions - CCG'!$D$5:$Q$215,13,0)*$H65</f>
        <v>14.274355881336428</v>
      </c>
      <c r="U65" s="384">
        <f>VLOOKUP($A65,'8.Non-elective admissions - CCG'!$D$5:$Q$215,14,0)*$H65</f>
        <v>14.591563789810573</v>
      </c>
    </row>
    <row r="66" spans="1:21">
      <c r="A66" s="395" t="s">
        <v>66</v>
      </c>
      <c r="B66" s="395" t="s">
        <v>65</v>
      </c>
      <c r="C66" s="395" t="s">
        <v>761</v>
      </c>
      <c r="D66" s="395" t="s">
        <v>399</v>
      </c>
      <c r="E66" s="537">
        <f>COUNTIF($D$5:D66,D66)</f>
        <v>2</v>
      </c>
      <c r="F66" s="537" t="str">
        <f t="shared" si="0"/>
        <v>Solihull2</v>
      </c>
      <c r="G66" s="541" t="str">
        <f t="shared" si="1"/>
        <v>NHS Birmingham South and Central CCG</v>
      </c>
      <c r="H66" s="546">
        <v>3.0765665517282718E-3</v>
      </c>
      <c r="I66" s="546">
        <v>3.5001272773555405E-3</v>
      </c>
      <c r="J66" s="384">
        <f>VLOOKUP($A66,'8.Non-elective admissions - CCG'!$D$5:$N$215,3,0)*$H66</f>
        <v>17.659492006920281</v>
      </c>
      <c r="K66" s="384">
        <f>VLOOKUP($A66,'8.Non-elective admissions - CCG'!$D$5:$N$215,4,0)*$H66</f>
        <v>16.939575433815865</v>
      </c>
      <c r="L66" s="384">
        <f>VLOOKUP($A66,'8.Non-elective admissions - CCG'!$D$5:$N$215,5,0)*$H66</f>
        <v>17.585654409678803</v>
      </c>
      <c r="M66" s="384">
        <f>VLOOKUP($A66,'8.Non-elective admissions - CCG'!$D$5:$N$215,6,0)*$H66</f>
        <v>17.982531494851749</v>
      </c>
      <c r="N66" s="384">
        <f>VLOOKUP($A66,'8.Non-elective admissions - CCG'!$D$5:$N$215,7,0)*$H66</f>
        <v>18.104132787808812</v>
      </c>
      <c r="O66" s="384">
        <f>VLOOKUP($A66,'8.Non-elective admissions - CCG'!$D$5:$N$215,8,0)*$H66</f>
        <v>17.375678742523348</v>
      </c>
      <c r="P66" s="384">
        <f>VLOOKUP($A66,'8.Non-elective admissions - CCG'!$D$5:$N$215,9,0)*$H66</f>
        <v>18.022142289205249</v>
      </c>
      <c r="Q66" s="384">
        <f>VLOOKUP($A66,'8.Non-elective admissions - CCG'!$D$5:$N$215,10,0)*$H66</f>
        <v>18.422634340076478</v>
      </c>
      <c r="R66" s="384">
        <f>VLOOKUP($A66,'8.Non-elective admissions - CCG'!$D$5:$Q$215,11,0)*$H66</f>
        <v>18.556736107504026</v>
      </c>
      <c r="S66" s="384">
        <f>VLOOKUP($A66,'8.Non-elective admissions - CCG'!$D$5:$Q$215,12,0)*$H66</f>
        <v>17.810070711086432</v>
      </c>
      <c r="T66" s="384">
        <f>VLOOKUP($A66,'8.Non-elective admissions - CCG'!$D$5:$Q$215,13,0)*$H66</f>
        <v>18.472695846435379</v>
      </c>
      <c r="U66" s="384">
        <f>VLOOKUP($A66,'8.Non-elective admissions - CCG'!$D$5:$Q$215,14,0)*$H66</f>
        <v>18.88320019857839</v>
      </c>
    </row>
    <row r="67" spans="1:21">
      <c r="A67" s="395" t="s">
        <v>66</v>
      </c>
      <c r="B67" s="395" t="s">
        <v>65</v>
      </c>
      <c r="C67" s="395" t="s">
        <v>799</v>
      </c>
      <c r="D67" s="395" t="s">
        <v>513</v>
      </c>
      <c r="E67" s="537">
        <f>COUNTIF($D$5:D67,D67)</f>
        <v>2</v>
      </c>
      <c r="F67" s="537" t="str">
        <f t="shared" si="0"/>
        <v>Worcestershire2</v>
      </c>
      <c r="G67" s="541" t="str">
        <f t="shared" si="1"/>
        <v>NHS Birmingham South and Central CCG</v>
      </c>
      <c r="H67" s="546">
        <v>2.501608205242949E-2</v>
      </c>
      <c r="I67" s="546">
        <v>1.0618559498531277E-2</v>
      </c>
      <c r="J67" s="384">
        <f>VLOOKUP($A67,'8.Non-elective admissions - CCG'!$D$5:$N$215,3,0)*$H67</f>
        <v>143.59231098094529</v>
      </c>
      <c r="K67" s="384">
        <f>VLOOKUP($A67,'8.Non-elective admissions - CCG'!$D$5:$N$215,4,0)*$H67</f>
        <v>137.73854778067678</v>
      </c>
      <c r="L67" s="384">
        <f>VLOOKUP($A67,'8.Non-elective admissions - CCG'!$D$5:$N$215,5,0)*$H67</f>
        <v>142.99192501168696</v>
      </c>
      <c r="M67" s="384">
        <f>VLOOKUP($A67,'8.Non-elective admissions - CCG'!$D$5:$N$215,6,0)*$H67</f>
        <v>146.21899959645037</v>
      </c>
      <c r="N67" s="384">
        <f>VLOOKUP($A67,'8.Non-elective admissions - CCG'!$D$5:$N$215,7,0)*$H67</f>
        <v>147.20776023957265</v>
      </c>
      <c r="O67" s="384">
        <f>VLOOKUP($A67,'8.Non-elective admissions - CCG'!$D$5:$N$215,8,0)*$H67</f>
        <v>141.28457741160864</v>
      </c>
      <c r="P67" s="384">
        <f>VLOOKUP($A67,'8.Non-elective admissions - CCG'!$D$5:$N$215,9,0)*$H67</f>
        <v>146.54108165287539</v>
      </c>
      <c r="Q67" s="384">
        <f>VLOOKUP($A67,'8.Non-elective admissions - CCG'!$D$5:$N$215,10,0)*$H67</f>
        <v>149.79755013405043</v>
      </c>
      <c r="R67" s="384">
        <f>VLOOKUP($A67,'8.Non-elective admissions - CCG'!$D$5:$Q$215,11,0)*$H67</f>
        <v>150.88795424556196</v>
      </c>
      <c r="S67" s="384">
        <f>VLOOKUP($A67,'8.Non-elective admissions - CCG'!$D$5:$Q$215,12,0)*$H67</f>
        <v>144.81669184689886</v>
      </c>
      <c r="T67" s="384">
        <f>VLOOKUP($A67,'8.Non-elective admissions - CCG'!$D$5:$Q$215,13,0)*$H67</f>
        <v>150.20460869419728</v>
      </c>
      <c r="U67" s="384">
        <f>VLOOKUP($A67,'8.Non-elective admissions - CCG'!$D$5:$Q$215,14,0)*$H67</f>
        <v>153.54248888740167</v>
      </c>
    </row>
    <row r="68" spans="1:21">
      <c r="A68" s="395" t="s">
        <v>70</v>
      </c>
      <c r="B68" s="395" t="s">
        <v>69</v>
      </c>
      <c r="C68" s="395" t="s">
        <v>657</v>
      </c>
      <c r="D68" s="395" t="s">
        <v>48</v>
      </c>
      <c r="E68" s="537">
        <f>COUNTIF($D$5:D68,D68)</f>
        <v>1</v>
      </c>
      <c r="F68" s="537" t="str">
        <f t="shared" si="0"/>
        <v>Blackburn with Darwen1</v>
      </c>
      <c r="G68" s="541" t="str">
        <f t="shared" si="1"/>
        <v>NHS Blackburn with Darwen CCG</v>
      </c>
      <c r="H68" s="546">
        <v>0.89176766305951216</v>
      </c>
      <c r="I68" s="546">
        <v>0.95784190079030584</v>
      </c>
      <c r="J68" s="384">
        <f>VLOOKUP($A68,'8.Non-elective admissions - CCG'!$D$5:$N$215,3,0)*$H68</f>
        <v>4655.9189688337128</v>
      </c>
      <c r="K68" s="384">
        <f>VLOOKUP($A68,'8.Non-elective admissions - CCG'!$D$5:$N$215,4,0)*$H68</f>
        <v>4369.6615489916094</v>
      </c>
      <c r="L68" s="384">
        <f>VLOOKUP($A68,'8.Non-elective admissions - CCG'!$D$5:$N$215,5,0)*$H68</f>
        <v>4456.1630123083823</v>
      </c>
      <c r="M68" s="384">
        <f>VLOOKUP($A68,'8.Non-elective admissions - CCG'!$D$5:$N$215,6,0)*$H68</f>
        <v>4733.5027555198903</v>
      </c>
      <c r="N68" s="384">
        <f>VLOOKUP($A68,'8.Non-elective admissions - CCG'!$D$5:$N$215,7,0)*$H68</f>
        <v>4424.0727891589531</v>
      </c>
      <c r="O68" s="384">
        <f>VLOOKUP($A68,'8.Non-elective admissions - CCG'!$D$5:$N$215,8,0)*$H68</f>
        <v>4395.7099790737057</v>
      </c>
      <c r="P68" s="384">
        <f>VLOOKUP($A68,'8.Non-elective admissions - CCG'!$D$5:$N$215,9,0)*$H68</f>
        <v>4432.3521311838349</v>
      </c>
      <c r="Q68" s="384">
        <f>VLOOKUP($A68,'8.Non-elective admissions - CCG'!$D$5:$N$215,10,0)*$H68</f>
        <v>4466.0501332217373</v>
      </c>
      <c r="R68" s="384">
        <f>VLOOKUP($A68,'8.Non-elective admissions - CCG'!$D$5:$Q$215,11,0)*$H68</f>
        <v>4434.4744100749031</v>
      </c>
      <c r="S68" s="384">
        <f>VLOOKUP($A68,'8.Non-elective admissions - CCG'!$D$5:$Q$215,12,0)*$H68</f>
        <v>4405.1262176785158</v>
      </c>
      <c r="T68" s="384">
        <f>VLOOKUP($A68,'8.Non-elective admissions - CCG'!$D$5:$Q$215,13,0)*$H68</f>
        <v>4442.7117582254723</v>
      </c>
      <c r="U68" s="384">
        <f>VLOOKUP($A68,'8.Non-elective admissions - CCG'!$D$5:$Q$215,14,0)*$H68</f>
        <v>4476.5632523836603</v>
      </c>
    </row>
    <row r="69" spans="1:21">
      <c r="A69" s="395" t="s">
        <v>70</v>
      </c>
      <c r="B69" s="395" t="s">
        <v>69</v>
      </c>
      <c r="C69" s="395" t="s">
        <v>718</v>
      </c>
      <c r="D69" s="395" t="s">
        <v>270</v>
      </c>
      <c r="E69" s="537">
        <f>COUNTIF($D$5:D69,D69)</f>
        <v>2</v>
      </c>
      <c r="F69" s="537" t="str">
        <f t="shared" si="0"/>
        <v>Lancashire2</v>
      </c>
      <c r="G69" s="541" t="str">
        <f t="shared" si="1"/>
        <v>NHS Blackburn with Darwen CCG</v>
      </c>
      <c r="H69" s="546">
        <v>0.10823233694048785</v>
      </c>
      <c r="I69" s="546">
        <v>1.495721094453935E-2</v>
      </c>
      <c r="J69" s="384">
        <f>VLOOKUP($A69,'8.Non-elective admissions - CCG'!$D$5:$N$215,3,0)*$H69</f>
        <v>565.08103116628706</v>
      </c>
      <c r="K69" s="384">
        <f>VLOOKUP($A69,'8.Non-elective admissions - CCG'!$D$5:$N$215,4,0)*$H69</f>
        <v>530.33845100839051</v>
      </c>
      <c r="L69" s="384">
        <f>VLOOKUP($A69,'8.Non-elective admissions - CCG'!$D$5:$N$215,5,0)*$H69</f>
        <v>540.83698769161776</v>
      </c>
      <c r="M69" s="384">
        <f>VLOOKUP($A69,'8.Non-elective admissions - CCG'!$D$5:$N$215,6,0)*$H69</f>
        <v>574.49724448010954</v>
      </c>
      <c r="N69" s="384">
        <f>VLOOKUP($A69,'8.Non-elective admissions - CCG'!$D$5:$N$215,7,0)*$H69</f>
        <v>536.94225144104723</v>
      </c>
      <c r="O69" s="384">
        <f>VLOOKUP($A69,'8.Non-elective admissions - CCG'!$D$5:$N$215,8,0)*$H69</f>
        <v>533.4999050262943</v>
      </c>
      <c r="P69" s="384">
        <f>VLOOKUP($A69,'8.Non-elective admissions - CCG'!$D$5:$N$215,9,0)*$H69</f>
        <v>537.94710121616492</v>
      </c>
      <c r="Q69" s="384">
        <f>VLOOKUP($A69,'8.Non-elective admissions - CCG'!$D$5:$N$215,10,0)*$H69</f>
        <v>542.03697087826322</v>
      </c>
      <c r="R69" s="384">
        <f>VLOOKUP($A69,'8.Non-elective admissions - CCG'!$D$5:$Q$215,11,0)*$H69</f>
        <v>538.20467862509645</v>
      </c>
      <c r="S69" s="384">
        <f>VLOOKUP($A69,'8.Non-elective admissions - CCG'!$D$5:$Q$215,12,0)*$H69</f>
        <v>534.64273802148421</v>
      </c>
      <c r="T69" s="384">
        <f>VLOOKUP($A69,'8.Non-elective admissions - CCG'!$D$5:$Q$215,13,0)*$H69</f>
        <v>539.20443167452822</v>
      </c>
      <c r="U69" s="384">
        <f>VLOOKUP($A69,'8.Non-elective admissions - CCG'!$D$5:$Q$215,14,0)*$H69</f>
        <v>543.31293041633955</v>
      </c>
    </row>
    <row r="70" spans="1:21">
      <c r="A70" s="395" t="s">
        <v>74</v>
      </c>
      <c r="B70" s="395" t="s">
        <v>73</v>
      </c>
      <c r="C70" s="395" t="s">
        <v>658</v>
      </c>
      <c r="D70" s="395" t="s">
        <v>52</v>
      </c>
      <c r="E70" s="537">
        <f>COUNTIF($D$5:D70,D70)</f>
        <v>1</v>
      </c>
      <c r="F70" s="537" t="str">
        <f t="shared" ref="F70:F133" si="2">D70&amp;E70</f>
        <v>Blackpool1</v>
      </c>
      <c r="G70" s="541" t="str">
        <f t="shared" ref="G70:G133" si="3">B70</f>
        <v>NHS Blackpool CCG</v>
      </c>
      <c r="H70" s="546">
        <v>0.8732617198902447</v>
      </c>
      <c r="I70" s="546">
        <v>0.97412002214190352</v>
      </c>
      <c r="J70" s="384">
        <f>VLOOKUP($A70,'8.Non-elective admissions - CCG'!$D$5:$N$215,3,0)*$H70</f>
        <v>4641.3860412166505</v>
      </c>
      <c r="K70" s="384">
        <f>VLOOKUP($A70,'8.Non-elective admissions - CCG'!$D$5:$N$215,4,0)*$H70</f>
        <v>4627.4138536984065</v>
      </c>
      <c r="L70" s="384">
        <f>VLOOKUP($A70,'8.Non-elective admissions - CCG'!$D$5:$N$215,5,0)*$H70</f>
        <v>4900.7447720240534</v>
      </c>
      <c r="M70" s="384">
        <f>VLOOKUP($A70,'8.Non-elective admissions - CCG'!$D$5:$N$215,6,0)*$H70</f>
        <v>4745.3041858835895</v>
      </c>
      <c r="N70" s="384">
        <f>VLOOKUP($A70,'8.Non-elective admissions - CCG'!$D$5:$N$215,7,0)*$H70</f>
        <v>4878.9132290267971</v>
      </c>
      <c r="O70" s="384">
        <f>VLOOKUP($A70,'8.Non-elective admissions - CCG'!$D$5:$N$215,8,0)*$H70</f>
        <v>4549.693560628175</v>
      </c>
      <c r="P70" s="384">
        <f>VLOOKUP($A70,'8.Non-elective admissions - CCG'!$D$5:$N$215,9,0)*$H70</f>
        <v>4816.9116469145902</v>
      </c>
      <c r="Q70" s="384">
        <f>VLOOKUP($A70,'8.Non-elective admissions - CCG'!$D$5:$N$215,10,0)*$H70</f>
        <v>4664.090845933797</v>
      </c>
      <c r="R70" s="384">
        <f>VLOOKUP($A70,'8.Non-elective admissions - CCG'!$D$5:$Q$215,11,0)*$H70</f>
        <v>4354.9561970926507</v>
      </c>
      <c r="S70" s="384">
        <f>VLOOKUP($A70,'8.Non-elective admissions - CCG'!$D$5:$Q$215,12,0)*$H70</f>
        <v>4349.7166267733091</v>
      </c>
      <c r="T70" s="384">
        <f>VLOOKUP($A70,'8.Non-elective admissions - CCG'!$D$5:$Q$215,13,0)*$H70</f>
        <v>4658.8512756144555</v>
      </c>
      <c r="U70" s="384">
        <f>VLOOKUP($A70,'8.Non-elective admissions - CCG'!$D$5:$Q$215,14,0)*$H70</f>
        <v>4506.9037363535526</v>
      </c>
    </row>
    <row r="71" spans="1:21">
      <c r="A71" s="395" t="s">
        <v>74</v>
      </c>
      <c r="B71" s="395" t="s">
        <v>73</v>
      </c>
      <c r="C71" s="395" t="s">
        <v>718</v>
      </c>
      <c r="D71" s="395" t="s">
        <v>270</v>
      </c>
      <c r="E71" s="537">
        <f>COUNTIF($D$5:D71,D71)</f>
        <v>3</v>
      </c>
      <c r="F71" s="537" t="str">
        <f t="shared" si="2"/>
        <v>Lancashire3</v>
      </c>
      <c r="G71" s="541" t="str">
        <f t="shared" si="3"/>
        <v>NHS Blackpool CCG</v>
      </c>
      <c r="H71" s="546">
        <v>0.12673828010975538</v>
      </c>
      <c r="I71" s="546">
        <v>1.7701907670228684E-2</v>
      </c>
      <c r="J71" s="384">
        <f>VLOOKUP($A71,'8.Non-elective admissions - CCG'!$D$5:$N$215,3,0)*$H71</f>
        <v>673.61395878334986</v>
      </c>
      <c r="K71" s="384">
        <f>VLOOKUP($A71,'8.Non-elective admissions - CCG'!$D$5:$N$215,4,0)*$H71</f>
        <v>671.58614630159377</v>
      </c>
      <c r="L71" s="384">
        <f>VLOOKUP($A71,'8.Non-elective admissions - CCG'!$D$5:$N$215,5,0)*$H71</f>
        <v>711.25522797594715</v>
      </c>
      <c r="M71" s="384">
        <f>VLOOKUP($A71,'8.Non-elective admissions - CCG'!$D$5:$N$215,6,0)*$H71</f>
        <v>688.6958141164107</v>
      </c>
      <c r="N71" s="384">
        <f>VLOOKUP($A71,'8.Non-elective admissions - CCG'!$D$5:$N$215,7,0)*$H71</f>
        <v>708.08677097320333</v>
      </c>
      <c r="O71" s="384">
        <f>VLOOKUP($A71,'8.Non-elective admissions - CCG'!$D$5:$N$215,8,0)*$H71</f>
        <v>660.30643937182549</v>
      </c>
      <c r="P71" s="384">
        <f>VLOOKUP($A71,'8.Non-elective admissions - CCG'!$D$5:$N$215,9,0)*$H71</f>
        <v>699.08835308541063</v>
      </c>
      <c r="Q71" s="384">
        <f>VLOOKUP($A71,'8.Non-elective admissions - CCG'!$D$5:$N$215,10,0)*$H71</f>
        <v>676.90915406620354</v>
      </c>
      <c r="R71" s="384">
        <f>VLOOKUP($A71,'8.Non-elective admissions - CCG'!$D$5:$Q$215,11,0)*$H71</f>
        <v>632.04380290735003</v>
      </c>
      <c r="S71" s="384">
        <f>VLOOKUP($A71,'8.Non-elective admissions - CCG'!$D$5:$Q$215,12,0)*$H71</f>
        <v>631.28337322669154</v>
      </c>
      <c r="T71" s="384">
        <f>VLOOKUP($A71,'8.Non-elective admissions - CCG'!$D$5:$Q$215,13,0)*$H71</f>
        <v>676.14872438554494</v>
      </c>
      <c r="U71" s="384">
        <f>VLOOKUP($A71,'8.Non-elective admissions - CCG'!$D$5:$Q$215,14,0)*$H71</f>
        <v>654.09626364644748</v>
      </c>
    </row>
    <row r="72" spans="1:21">
      <c r="A72" s="395" t="s">
        <v>78</v>
      </c>
      <c r="B72" s="395" t="s">
        <v>77</v>
      </c>
      <c r="C72" s="395" t="s">
        <v>657</v>
      </c>
      <c r="D72" s="395" t="s">
        <v>48</v>
      </c>
      <c r="E72" s="537">
        <f>COUNTIF($D$5:D72,D72)</f>
        <v>2</v>
      </c>
      <c r="F72" s="537" t="str">
        <f t="shared" si="2"/>
        <v>Blackburn with Darwen2</v>
      </c>
      <c r="G72" s="541" t="str">
        <f t="shared" si="3"/>
        <v>NHS Bolton CCG</v>
      </c>
      <c r="H72" s="546">
        <v>1.2343734817440718E-2</v>
      </c>
      <c r="I72" s="546">
        <v>2.3347931071634544E-2</v>
      </c>
      <c r="J72" s="384">
        <f>VLOOKUP($A72,'8.Non-elective admissions - CCG'!$D$5:$N$215,3,0)*$H72</f>
        <v>97.848785897852565</v>
      </c>
      <c r="K72" s="384">
        <f>VLOOKUP($A72,'8.Non-elective admissions - CCG'!$D$5:$N$215,4,0)*$H72</f>
        <v>97.367380239972377</v>
      </c>
      <c r="L72" s="384">
        <f>VLOOKUP($A72,'8.Non-elective admissions - CCG'!$D$5:$N$215,5,0)*$H72</f>
        <v>104.9217459482461</v>
      </c>
      <c r="M72" s="384">
        <f>VLOOKUP($A72,'8.Non-elective admissions - CCG'!$D$5:$N$215,6,0)*$H72</f>
        <v>103.29237295234392</v>
      </c>
      <c r="N72" s="384">
        <f>VLOOKUP($A72,'8.Non-elective admissions - CCG'!$D$5:$N$215,7,0)*$H72</f>
        <v>95.923163266331812</v>
      </c>
      <c r="O72" s="384">
        <f>VLOOKUP($A72,'8.Non-elective admissions - CCG'!$D$5:$N$215,8,0)*$H72</f>
        <v>94.886289541666798</v>
      </c>
      <c r="P72" s="384">
        <f>VLOOKUP($A72,'8.Non-elective admissions - CCG'!$D$5:$N$215,9,0)*$H72</f>
        <v>95.39238266918187</v>
      </c>
      <c r="Q72" s="384">
        <f>VLOOKUP($A72,'8.Non-elective admissions - CCG'!$D$5:$N$215,10,0)*$H72</f>
        <v>85.369269997420005</v>
      </c>
      <c r="R72" s="384">
        <f>VLOOKUP($A72,'8.Non-elective admissions - CCG'!$D$5:$Q$215,11,0)*$H72</f>
        <v>93.318635219851828</v>
      </c>
      <c r="S72" s="384">
        <f>VLOOKUP($A72,'8.Non-elective admissions - CCG'!$D$5:$Q$215,12,0)*$H72</f>
        <v>92.244730290734481</v>
      </c>
      <c r="T72" s="384">
        <f>VLOOKUP($A72,'8.Non-elective admissions - CCG'!$D$5:$Q$215,13,0)*$H72</f>
        <v>92.738479683432118</v>
      </c>
      <c r="U72" s="384">
        <f>VLOOKUP($A72,'8.Non-elective admissions - CCG'!$D$5:$Q$215,14,0)*$H72</f>
        <v>83.036304116923702</v>
      </c>
    </row>
    <row r="73" spans="1:21">
      <c r="A73" s="395" t="s">
        <v>78</v>
      </c>
      <c r="B73" s="395" t="s">
        <v>77</v>
      </c>
      <c r="C73" s="395" t="s">
        <v>659</v>
      </c>
      <c r="D73" s="395" t="s">
        <v>56</v>
      </c>
      <c r="E73" s="537">
        <f>COUNTIF($D$5:D73,D73)</f>
        <v>1</v>
      </c>
      <c r="F73" s="537" t="str">
        <f t="shared" si="2"/>
        <v>Bolton1</v>
      </c>
      <c r="G73" s="541" t="str">
        <f t="shared" si="3"/>
        <v>NHS Bolton CCG</v>
      </c>
      <c r="H73" s="546">
        <v>0.97368412235174284</v>
      </c>
      <c r="I73" s="546">
        <v>0.97600271375889203</v>
      </c>
      <c r="J73" s="384">
        <f>VLOOKUP($A73,'8.Non-elective admissions - CCG'!$D$5:$N$215,3,0)*$H73</f>
        <v>7718.3940378822654</v>
      </c>
      <c r="K73" s="384">
        <f>VLOOKUP($A73,'8.Non-elective admissions - CCG'!$D$5:$N$215,4,0)*$H73</f>
        <v>7680.4203571105472</v>
      </c>
      <c r="L73" s="384">
        <f>VLOOKUP($A73,'8.Non-elective admissions - CCG'!$D$5:$N$215,5,0)*$H73</f>
        <v>8276.315039989815</v>
      </c>
      <c r="M73" s="384">
        <f>VLOOKUP($A73,'8.Non-elective admissions - CCG'!$D$5:$N$215,6,0)*$H73</f>
        <v>8147.7887358393837</v>
      </c>
      <c r="N73" s="384">
        <f>VLOOKUP($A73,'8.Non-elective admissions - CCG'!$D$5:$N$215,7,0)*$H73</f>
        <v>7566.4993147953937</v>
      </c>
      <c r="O73" s="384">
        <f>VLOOKUP($A73,'8.Non-elective admissions - CCG'!$D$5:$N$215,8,0)*$H73</f>
        <v>7484.7098485178476</v>
      </c>
      <c r="P73" s="384">
        <f>VLOOKUP($A73,'8.Non-elective admissions - CCG'!$D$5:$N$215,9,0)*$H73</f>
        <v>7524.630897534269</v>
      </c>
      <c r="Q73" s="384">
        <f>VLOOKUP($A73,'8.Non-elective admissions - CCG'!$D$5:$N$215,10,0)*$H73</f>
        <v>6733.9993901846537</v>
      </c>
      <c r="R73" s="384">
        <f>VLOOKUP($A73,'8.Non-elective admissions - CCG'!$D$5:$Q$215,11,0)*$H73</f>
        <v>7361.0519649791759</v>
      </c>
      <c r="S73" s="384">
        <f>VLOOKUP($A73,'8.Non-elective admissions - CCG'!$D$5:$Q$215,12,0)*$H73</f>
        <v>7276.3414463345744</v>
      </c>
      <c r="T73" s="384">
        <f>VLOOKUP($A73,'8.Non-elective admissions - CCG'!$D$5:$Q$215,13,0)*$H73</f>
        <v>7315.2888112286437</v>
      </c>
      <c r="U73" s="384">
        <f>VLOOKUP($A73,'8.Non-elective admissions - CCG'!$D$5:$Q$215,14,0)*$H73</f>
        <v>6549.9730910601738</v>
      </c>
    </row>
    <row r="74" spans="1:21">
      <c r="A74" s="395" t="s">
        <v>78</v>
      </c>
      <c r="B74" s="395" t="s">
        <v>77</v>
      </c>
      <c r="C74" s="395" t="s">
        <v>668</v>
      </c>
      <c r="D74" s="395" t="s">
        <v>90</v>
      </c>
      <c r="E74" s="537">
        <f>COUNTIF($D$5:D74,D74)</f>
        <v>1</v>
      </c>
      <c r="F74" s="537" t="str">
        <f t="shared" si="2"/>
        <v>Bury1</v>
      </c>
      <c r="G74" s="541" t="str">
        <f t="shared" si="3"/>
        <v>NHS Bolton CCG</v>
      </c>
      <c r="H74" s="546">
        <v>7.8739893650884053E-3</v>
      </c>
      <c r="I74" s="546">
        <v>1.1884052107775711E-2</v>
      </c>
      <c r="J74" s="384">
        <f>VLOOKUP($A74,'8.Non-elective admissions - CCG'!$D$5:$N$215,3,0)*$H74</f>
        <v>62.41711369705579</v>
      </c>
      <c r="K74" s="384">
        <f>VLOOKUP($A74,'8.Non-elective admissions - CCG'!$D$5:$N$215,4,0)*$H74</f>
        <v>62.110028111817343</v>
      </c>
      <c r="L74" s="384">
        <f>VLOOKUP($A74,'8.Non-elective admissions - CCG'!$D$5:$N$215,5,0)*$H74</f>
        <v>66.928909603251441</v>
      </c>
      <c r="M74" s="384">
        <f>VLOOKUP($A74,'8.Non-elective admissions - CCG'!$D$5:$N$215,6,0)*$H74</f>
        <v>65.889543007059771</v>
      </c>
      <c r="N74" s="384">
        <f>VLOOKUP($A74,'8.Non-elective admissions - CCG'!$D$5:$N$215,7,0)*$H74</f>
        <v>61.188771356101995</v>
      </c>
      <c r="O74" s="384">
        <f>VLOOKUP($A74,'8.Non-elective admissions - CCG'!$D$5:$N$215,8,0)*$H74</f>
        <v>60.527356249434568</v>
      </c>
      <c r="P74" s="384">
        <f>VLOOKUP($A74,'8.Non-elective admissions - CCG'!$D$5:$N$215,9,0)*$H74</f>
        <v>60.850189813403198</v>
      </c>
      <c r="Q74" s="384">
        <f>VLOOKUP($A74,'8.Non-elective admissions - CCG'!$D$5:$N$215,10,0)*$H74</f>
        <v>54.456510448951413</v>
      </c>
      <c r="R74" s="384">
        <f>VLOOKUP($A74,'8.Non-elective admissions - CCG'!$D$5:$Q$215,11,0)*$H74</f>
        <v>59.527359600068344</v>
      </c>
      <c r="S74" s="384">
        <f>VLOOKUP($A74,'8.Non-elective admissions - CCG'!$D$5:$Q$215,12,0)*$H74</f>
        <v>58.842322525305654</v>
      </c>
      <c r="T74" s="384">
        <f>VLOOKUP($A74,'8.Non-elective admissions - CCG'!$D$5:$Q$215,13,0)*$H74</f>
        <v>59.157282099909189</v>
      </c>
      <c r="U74" s="384">
        <f>VLOOKUP($A74,'8.Non-elective admissions - CCG'!$D$5:$Q$215,14,0)*$H74</f>
        <v>52.968326458949704</v>
      </c>
    </row>
    <row r="75" spans="1:21">
      <c r="A75" s="395" t="s">
        <v>78</v>
      </c>
      <c r="B75" s="395" t="s">
        <v>77</v>
      </c>
      <c r="C75" s="395" t="s">
        <v>718</v>
      </c>
      <c r="D75" s="395" t="s">
        <v>270</v>
      </c>
      <c r="E75" s="537">
        <f>COUNTIF($D$5:D75,D75)</f>
        <v>4</v>
      </c>
      <c r="F75" s="537" t="str">
        <f t="shared" si="2"/>
        <v>Lancashire4</v>
      </c>
      <c r="G75" s="541" t="str">
        <f t="shared" si="3"/>
        <v>NHS Bolton CCG</v>
      </c>
      <c r="H75" s="546">
        <v>2.5364297656901803E-3</v>
      </c>
      <c r="I75" s="546">
        <v>0</v>
      </c>
      <c r="J75" s="384">
        <f>VLOOKUP($A75,'8.Non-elective admissions - CCG'!$D$5:$N$215,3,0)*$H75</f>
        <v>20.106278752626061</v>
      </c>
      <c r="K75" s="384">
        <f>VLOOKUP($A75,'8.Non-elective admissions - CCG'!$D$5:$N$215,4,0)*$H75</f>
        <v>20.007357991764142</v>
      </c>
      <c r="L75" s="384">
        <f>VLOOKUP($A75,'8.Non-elective admissions - CCG'!$D$5:$N$215,5,0)*$H75</f>
        <v>21.559653008366531</v>
      </c>
      <c r="M75" s="384">
        <f>VLOOKUP($A75,'8.Non-elective admissions - CCG'!$D$5:$N$215,6,0)*$H75</f>
        <v>21.224844279295429</v>
      </c>
      <c r="N75" s="384">
        <f>VLOOKUP($A75,'8.Non-elective admissions - CCG'!$D$5:$N$215,7,0)*$H75</f>
        <v>19.710595709178392</v>
      </c>
      <c r="O75" s="384">
        <f>VLOOKUP($A75,'8.Non-elective admissions - CCG'!$D$5:$N$215,8,0)*$H75</f>
        <v>19.497535608860417</v>
      </c>
      <c r="P75" s="384">
        <f>VLOOKUP($A75,'8.Non-elective admissions - CCG'!$D$5:$N$215,9,0)*$H75</f>
        <v>19.601529229253714</v>
      </c>
      <c r="Q75" s="384">
        <f>VLOOKUP($A75,'8.Non-elective admissions - CCG'!$D$5:$N$215,10,0)*$H75</f>
        <v>17.541948259513287</v>
      </c>
      <c r="R75" s="384">
        <f>VLOOKUP($A75,'8.Non-elective admissions - CCG'!$D$5:$Q$215,11,0)*$H75</f>
        <v>19.175409028617764</v>
      </c>
      <c r="S75" s="384">
        <f>VLOOKUP($A75,'8.Non-elective admissions - CCG'!$D$5:$Q$215,12,0)*$H75</f>
        <v>18.954739639002717</v>
      </c>
      <c r="T75" s="384">
        <f>VLOOKUP($A75,'8.Non-elective admissions - CCG'!$D$5:$Q$215,13,0)*$H75</f>
        <v>19.056196829630323</v>
      </c>
      <c r="U75" s="384">
        <f>VLOOKUP($A75,'8.Non-elective admissions - CCG'!$D$5:$Q$215,14,0)*$H75</f>
        <v>17.062563033797844</v>
      </c>
    </row>
    <row r="76" spans="1:21">
      <c r="A76" s="395" t="s">
        <v>78</v>
      </c>
      <c r="B76" s="395" t="s">
        <v>77</v>
      </c>
      <c r="C76" s="395" t="s">
        <v>755</v>
      </c>
      <c r="D76" s="395" t="s">
        <v>381</v>
      </c>
      <c r="E76" s="537">
        <f>COUNTIF($D$5:D76,D76)</f>
        <v>1</v>
      </c>
      <c r="F76" s="537" t="str">
        <f t="shared" si="2"/>
        <v>Salford1</v>
      </c>
      <c r="G76" s="541" t="str">
        <f t="shared" si="3"/>
        <v>NHS Bolton CCG</v>
      </c>
      <c r="H76" s="546">
        <v>2.3655474432989002E-3</v>
      </c>
      <c r="I76" s="546">
        <v>2.8135336548041289E-3</v>
      </c>
      <c r="J76" s="384">
        <f>VLOOKUP($A76,'8.Non-elective admissions - CCG'!$D$5:$N$215,3,0)*$H76</f>
        <v>18.751694583030382</v>
      </c>
      <c r="K76" s="384">
        <f>VLOOKUP($A76,'8.Non-elective admissions - CCG'!$D$5:$N$215,4,0)*$H76</f>
        <v>18.659438232741724</v>
      </c>
      <c r="L76" s="384">
        <f>VLOOKUP($A76,'8.Non-elective admissions - CCG'!$D$5:$N$215,5,0)*$H76</f>
        <v>20.107153268040651</v>
      </c>
      <c r="M76" s="384">
        <f>VLOOKUP($A76,'8.Non-elective admissions - CCG'!$D$5:$N$215,6,0)*$H76</f>
        <v>19.794901005525197</v>
      </c>
      <c r="N76" s="384">
        <f>VLOOKUP($A76,'8.Non-elective admissions - CCG'!$D$5:$N$215,7,0)*$H76</f>
        <v>18.382669181875752</v>
      </c>
      <c r="O76" s="384">
        <f>VLOOKUP($A76,'8.Non-elective admissions - CCG'!$D$5:$N$215,8,0)*$H76</f>
        <v>18.183963196638647</v>
      </c>
      <c r="P76" s="384">
        <f>VLOOKUP($A76,'8.Non-elective admissions - CCG'!$D$5:$N$215,9,0)*$H76</f>
        <v>18.280950641813899</v>
      </c>
      <c r="Q76" s="384">
        <f>VLOOKUP($A76,'8.Non-elective admissions - CCG'!$D$5:$N$215,10,0)*$H76</f>
        <v>16.360126117855195</v>
      </c>
      <c r="R76" s="384">
        <f>VLOOKUP($A76,'8.Non-elective admissions - CCG'!$D$5:$Q$215,11,0)*$H76</f>
        <v>17.883538671339686</v>
      </c>
      <c r="S76" s="384">
        <f>VLOOKUP($A76,'8.Non-elective admissions - CCG'!$D$5:$Q$215,12,0)*$H76</f>
        <v>17.677736043772679</v>
      </c>
      <c r="T76" s="384">
        <f>VLOOKUP($A76,'8.Non-elective admissions - CCG'!$D$5:$Q$215,13,0)*$H76</f>
        <v>17.772357941504637</v>
      </c>
      <c r="U76" s="384">
        <f>VLOOKUP($A76,'8.Non-elective admissions - CCG'!$D$5:$Q$215,14,0)*$H76</f>
        <v>15.913037651071701</v>
      </c>
    </row>
    <row r="77" spans="1:21">
      <c r="A77" s="395" t="s">
        <v>78</v>
      </c>
      <c r="B77" s="395" t="s">
        <v>77</v>
      </c>
      <c r="C77" s="395" t="s">
        <v>793</v>
      </c>
      <c r="D77" s="395" t="s">
        <v>495</v>
      </c>
      <c r="E77" s="537">
        <f>COUNTIF($D$5:D77,D77)</f>
        <v>1</v>
      </c>
      <c r="F77" s="537" t="str">
        <f t="shared" si="2"/>
        <v>Wigan1</v>
      </c>
      <c r="G77" s="541" t="str">
        <f t="shared" si="3"/>
        <v>NHS Bolton CCG</v>
      </c>
      <c r="H77" s="546">
        <v>1.1961762567389623E-3</v>
      </c>
      <c r="I77" s="546">
        <v>1.0974721251302672E-3</v>
      </c>
      <c r="J77" s="384">
        <f>VLOOKUP($A77,'8.Non-elective admissions - CCG'!$D$5:$N$215,3,0)*$H77</f>
        <v>9.4820891871697537</v>
      </c>
      <c r="K77" s="384">
        <f>VLOOKUP($A77,'8.Non-elective admissions - CCG'!$D$5:$N$215,4,0)*$H77</f>
        <v>9.4354383131569346</v>
      </c>
      <c r="L77" s="384">
        <f>VLOOKUP($A77,'8.Non-elective admissions - CCG'!$D$5:$N$215,5,0)*$H77</f>
        <v>10.167498182281179</v>
      </c>
      <c r="M77" s="384">
        <f>VLOOKUP($A77,'8.Non-elective admissions - CCG'!$D$5:$N$215,6,0)*$H77</f>
        <v>10.009602916391637</v>
      </c>
      <c r="N77" s="384">
        <f>VLOOKUP($A77,'8.Non-elective admissions - CCG'!$D$5:$N$215,7,0)*$H77</f>
        <v>9.2954856911184756</v>
      </c>
      <c r="O77" s="384">
        <f>VLOOKUP($A77,'8.Non-elective admissions - CCG'!$D$5:$N$215,8,0)*$H77</f>
        <v>9.1950068855524041</v>
      </c>
      <c r="P77" s="384">
        <f>VLOOKUP($A77,'8.Non-elective admissions - CCG'!$D$5:$N$215,9,0)*$H77</f>
        <v>9.2440501120787015</v>
      </c>
      <c r="Q77" s="384">
        <f>VLOOKUP($A77,'8.Non-elective admissions - CCG'!$D$5:$N$215,10,0)*$H77</f>
        <v>8.2727549916066625</v>
      </c>
      <c r="R77" s="384">
        <f>VLOOKUP($A77,'8.Non-elective admissions - CCG'!$D$5:$Q$215,11,0)*$H77</f>
        <v>9.043092500946555</v>
      </c>
      <c r="S77" s="384">
        <f>VLOOKUP($A77,'8.Non-elective admissions - CCG'!$D$5:$Q$215,12,0)*$H77</f>
        <v>8.939025166610266</v>
      </c>
      <c r="T77" s="384">
        <f>VLOOKUP($A77,'8.Non-elective admissions - CCG'!$D$5:$Q$215,13,0)*$H77</f>
        <v>8.9868722168798243</v>
      </c>
      <c r="U77" s="384">
        <f>VLOOKUP($A77,'8.Non-elective admissions - CCG'!$D$5:$Q$215,14,0)*$H77</f>
        <v>8.0466776790829986</v>
      </c>
    </row>
    <row r="78" spans="1:21">
      <c r="A78" s="395" t="s">
        <v>81</v>
      </c>
      <c r="B78" s="395" t="s">
        <v>80</v>
      </c>
      <c r="C78" s="395" t="s">
        <v>661</v>
      </c>
      <c r="D78" s="395" t="s">
        <v>64</v>
      </c>
      <c r="E78" s="537">
        <f>COUNTIF($D$5:D78,D78)</f>
        <v>1</v>
      </c>
      <c r="F78" s="537" t="str">
        <f t="shared" si="2"/>
        <v>Bracknell Forest1</v>
      </c>
      <c r="G78" s="541" t="str">
        <f t="shared" si="3"/>
        <v>NHS Bracknell and Ascot CCG</v>
      </c>
      <c r="H78" s="546">
        <v>0.82085503472222221</v>
      </c>
      <c r="I78" s="546">
        <v>0.95022567598120911</v>
      </c>
      <c r="J78" s="384">
        <f>VLOOKUP($A78,'8.Non-elective admissions - CCG'!$D$5:$N$215,3,0)*$H78</f>
        <v>1970.8729383680554</v>
      </c>
      <c r="K78" s="384">
        <f>VLOOKUP($A78,'8.Non-elective admissions - CCG'!$D$5:$N$215,4,0)*$H78</f>
        <v>2025.8702256944443</v>
      </c>
      <c r="L78" s="384">
        <f>VLOOKUP($A78,'8.Non-elective admissions - CCG'!$D$5:$N$215,5,0)*$H78</f>
        <v>2100.5680338541665</v>
      </c>
      <c r="M78" s="384">
        <f>VLOOKUP($A78,'8.Non-elective admissions - CCG'!$D$5:$N$215,6,0)*$H78</f>
        <v>2033.2579210069443</v>
      </c>
      <c r="N78" s="384">
        <f>VLOOKUP($A78,'8.Non-elective admissions - CCG'!$D$5:$N$215,7,0)*$H78</f>
        <v>1809.9853515625</v>
      </c>
      <c r="O78" s="384">
        <f>VLOOKUP($A78,'8.Non-elective admissions - CCG'!$D$5:$N$215,8,0)*$H78</f>
        <v>1868.2660590277778</v>
      </c>
      <c r="P78" s="384">
        <f>VLOOKUP($A78,'8.Non-elective admissions - CCG'!$D$5:$N$215,9,0)*$H78</f>
        <v>1960.2018229166667</v>
      </c>
      <c r="Q78" s="384">
        <f>VLOOKUP($A78,'8.Non-elective admissions - CCG'!$D$5:$N$215,10,0)*$H78</f>
        <v>1899.4585503472222</v>
      </c>
      <c r="R78" s="384">
        <f>VLOOKUP($A78,'8.Non-elective admissions - CCG'!$D$5:$Q$215,11,0)*$H78</f>
        <v>1838.7152777777778</v>
      </c>
      <c r="S78" s="384">
        <f>VLOOKUP($A78,'8.Non-elective admissions - CCG'!$D$5:$Q$215,12,0)*$H78</f>
        <v>1901.1002604166667</v>
      </c>
      <c r="T78" s="384">
        <f>VLOOKUP($A78,'8.Non-elective admissions - CCG'!$D$5:$Q$215,13,0)*$H78</f>
        <v>1990.5734592013889</v>
      </c>
      <c r="U78" s="384">
        <f>VLOOKUP($A78,'8.Non-elective admissions - CCG'!$D$5:$Q$215,14,0)*$H78</f>
        <v>1929.8301866319443</v>
      </c>
    </row>
    <row r="79" spans="1:21">
      <c r="A79" s="395" t="s">
        <v>81</v>
      </c>
      <c r="B79" s="395" t="s">
        <v>80</v>
      </c>
      <c r="C79" s="395" t="s">
        <v>699</v>
      </c>
      <c r="D79" s="395" t="s">
        <v>205</v>
      </c>
      <c r="E79" s="537">
        <f>COUNTIF($D$5:D79,D79)</f>
        <v>1</v>
      </c>
      <c r="F79" s="537" t="str">
        <f t="shared" si="2"/>
        <v>Hampshire1</v>
      </c>
      <c r="G79" s="541" t="str">
        <f t="shared" si="3"/>
        <v>NHS Bracknell and Ascot CCG</v>
      </c>
      <c r="H79" s="546">
        <v>6.2138310185185178E-3</v>
      </c>
      <c r="I79" s="546">
        <v>0</v>
      </c>
      <c r="J79" s="384">
        <f>VLOOKUP($A79,'8.Non-elective admissions - CCG'!$D$5:$N$215,3,0)*$H79</f>
        <v>14.919408275462962</v>
      </c>
      <c r="K79" s="384">
        <f>VLOOKUP($A79,'8.Non-elective admissions - CCG'!$D$5:$N$215,4,0)*$H79</f>
        <v>15.335734953703701</v>
      </c>
      <c r="L79" s="384">
        <f>VLOOKUP($A79,'8.Non-elective admissions - CCG'!$D$5:$N$215,5,0)*$H79</f>
        <v>15.901193576388888</v>
      </c>
      <c r="M79" s="384">
        <f>VLOOKUP($A79,'8.Non-elective admissions - CCG'!$D$5:$N$215,6,0)*$H79</f>
        <v>15.39165943287037</v>
      </c>
      <c r="N79" s="384">
        <f>VLOOKUP($A79,'8.Non-elective admissions - CCG'!$D$5:$N$215,7,0)*$H79</f>
        <v>13.701497395833332</v>
      </c>
      <c r="O79" s="384">
        <f>VLOOKUP($A79,'8.Non-elective admissions - CCG'!$D$5:$N$215,8,0)*$H79</f>
        <v>14.142679398148147</v>
      </c>
      <c r="P79" s="384">
        <f>VLOOKUP($A79,'8.Non-elective admissions - CCG'!$D$5:$N$215,9,0)*$H79</f>
        <v>14.83862847222222</v>
      </c>
      <c r="Q79" s="384">
        <f>VLOOKUP($A79,'8.Non-elective admissions - CCG'!$D$5:$N$215,10,0)*$H79</f>
        <v>14.37880497685185</v>
      </c>
      <c r="R79" s="384">
        <f>VLOOKUP($A79,'8.Non-elective admissions - CCG'!$D$5:$Q$215,11,0)*$H79</f>
        <v>13.918981481481479</v>
      </c>
      <c r="S79" s="384">
        <f>VLOOKUP($A79,'8.Non-elective admissions - CCG'!$D$5:$Q$215,12,0)*$H79</f>
        <v>14.391232638888887</v>
      </c>
      <c r="T79" s="384">
        <f>VLOOKUP($A79,'8.Non-elective admissions - CCG'!$D$5:$Q$215,13,0)*$H79</f>
        <v>15.068540219907407</v>
      </c>
      <c r="U79" s="384">
        <f>VLOOKUP($A79,'8.Non-elective admissions - CCG'!$D$5:$Q$215,14,0)*$H79</f>
        <v>14.608716724537036</v>
      </c>
    </row>
    <row r="80" spans="1:21">
      <c r="A80" s="395" t="s">
        <v>81</v>
      </c>
      <c r="B80" s="395" t="s">
        <v>80</v>
      </c>
      <c r="C80" s="395" t="s">
        <v>775</v>
      </c>
      <c r="D80" s="395" t="s">
        <v>441</v>
      </c>
      <c r="E80" s="537">
        <f>COUNTIF($D$5:D80,D80)</f>
        <v>1</v>
      </c>
      <c r="F80" s="537" t="str">
        <f t="shared" si="2"/>
        <v>Surrey1</v>
      </c>
      <c r="G80" s="541" t="str">
        <f t="shared" si="3"/>
        <v>NHS Bracknell and Ascot CCG</v>
      </c>
      <c r="H80" s="546">
        <v>1.7708333333333333E-2</v>
      </c>
      <c r="I80" s="546">
        <v>2.0186860398954377E-3</v>
      </c>
      <c r="J80" s="384">
        <f>VLOOKUP($A80,'8.Non-elective admissions - CCG'!$D$5:$N$215,3,0)*$H80</f>
        <v>42.517708333333331</v>
      </c>
      <c r="K80" s="384">
        <f>VLOOKUP($A80,'8.Non-elective admissions - CCG'!$D$5:$N$215,4,0)*$H80</f>
        <v>43.704166666666666</v>
      </c>
      <c r="L80" s="384">
        <f>VLOOKUP($A80,'8.Non-elective admissions - CCG'!$D$5:$N$215,5,0)*$H80</f>
        <v>45.315624999999997</v>
      </c>
      <c r="M80" s="384">
        <f>VLOOKUP($A80,'8.Non-elective admissions - CCG'!$D$5:$N$215,6,0)*$H80</f>
        <v>43.863541666666663</v>
      </c>
      <c r="N80" s="384">
        <f>VLOOKUP($A80,'8.Non-elective admissions - CCG'!$D$5:$N$215,7,0)*$H80</f>
        <v>39.046875</v>
      </c>
      <c r="O80" s="384">
        <f>VLOOKUP($A80,'8.Non-elective admissions - CCG'!$D$5:$N$215,8,0)*$H80</f>
        <v>40.304166666666667</v>
      </c>
      <c r="P80" s="384">
        <f>VLOOKUP($A80,'8.Non-elective admissions - CCG'!$D$5:$N$215,9,0)*$H80</f>
        <v>42.287500000000001</v>
      </c>
      <c r="Q80" s="384">
        <f>VLOOKUP($A80,'8.Non-elective admissions - CCG'!$D$5:$N$215,10,0)*$H80</f>
        <v>40.977083333333333</v>
      </c>
      <c r="R80" s="384">
        <f>VLOOKUP($A80,'8.Non-elective admissions - CCG'!$D$5:$Q$215,11,0)*$H80</f>
        <v>39.666666666666664</v>
      </c>
      <c r="S80" s="384">
        <f>VLOOKUP($A80,'8.Non-elective admissions - CCG'!$D$5:$Q$215,12,0)*$H80</f>
        <v>41.012499999999996</v>
      </c>
      <c r="T80" s="384">
        <f>VLOOKUP($A80,'8.Non-elective admissions - CCG'!$D$5:$Q$215,13,0)*$H80</f>
        <v>42.942708333333336</v>
      </c>
      <c r="U80" s="384">
        <f>VLOOKUP($A80,'8.Non-elective admissions - CCG'!$D$5:$Q$215,14,0)*$H80</f>
        <v>41.632291666666667</v>
      </c>
    </row>
    <row r="81" spans="1:21">
      <c r="A81" s="395" t="s">
        <v>81</v>
      </c>
      <c r="B81" s="395" t="s">
        <v>80</v>
      </c>
      <c r="C81" s="395" t="s">
        <v>795</v>
      </c>
      <c r="D81" s="395" t="s">
        <v>501</v>
      </c>
      <c r="E81" s="537">
        <f>COUNTIF($D$5:D81,D81)</f>
        <v>1</v>
      </c>
      <c r="F81" s="537" t="str">
        <f t="shared" si="2"/>
        <v>Windsor and Maidenhead1</v>
      </c>
      <c r="G81" s="541" t="str">
        <f t="shared" si="3"/>
        <v>NHS Bracknell and Ascot CCG</v>
      </c>
      <c r="H81" s="546">
        <v>0.12254050925925924</v>
      </c>
      <c r="I81" s="546">
        <v>0.10873821307297786</v>
      </c>
      <c r="J81" s="384">
        <f>VLOOKUP($A81,'8.Non-elective admissions - CCG'!$D$5:$N$215,3,0)*$H81</f>
        <v>294.21976273148147</v>
      </c>
      <c r="K81" s="384">
        <f>VLOOKUP($A81,'8.Non-elective admissions - CCG'!$D$5:$N$215,4,0)*$H81</f>
        <v>302.42997685185179</v>
      </c>
      <c r="L81" s="384">
        <f>VLOOKUP($A81,'8.Non-elective admissions - CCG'!$D$5:$N$215,5,0)*$H81</f>
        <v>313.5811631944444</v>
      </c>
      <c r="M81" s="384">
        <f>VLOOKUP($A81,'8.Non-elective admissions - CCG'!$D$5:$N$215,6,0)*$H81</f>
        <v>303.53284143518516</v>
      </c>
      <c r="N81" s="384">
        <f>VLOOKUP($A81,'8.Non-elective admissions - CCG'!$D$5:$N$215,7,0)*$H81</f>
        <v>270.20182291666663</v>
      </c>
      <c r="O81" s="384">
        <f>VLOOKUP($A81,'8.Non-elective admissions - CCG'!$D$5:$N$215,8,0)*$H81</f>
        <v>278.90219907407402</v>
      </c>
      <c r="P81" s="384">
        <f>VLOOKUP($A81,'8.Non-elective admissions - CCG'!$D$5:$N$215,9,0)*$H81</f>
        <v>292.62673611111109</v>
      </c>
      <c r="Q81" s="384">
        <f>VLOOKUP($A81,'8.Non-elective admissions - CCG'!$D$5:$N$215,10,0)*$H81</f>
        <v>283.55873842592587</v>
      </c>
      <c r="R81" s="384">
        <f>VLOOKUP($A81,'8.Non-elective admissions - CCG'!$D$5:$Q$215,11,0)*$H81</f>
        <v>274.4907407407407</v>
      </c>
      <c r="S81" s="384">
        <f>VLOOKUP($A81,'8.Non-elective admissions - CCG'!$D$5:$Q$215,12,0)*$H81</f>
        <v>283.8038194444444</v>
      </c>
      <c r="T81" s="384">
        <f>VLOOKUP($A81,'8.Non-elective admissions - CCG'!$D$5:$Q$215,13,0)*$H81</f>
        <v>297.1607349537037</v>
      </c>
      <c r="U81" s="384">
        <f>VLOOKUP($A81,'8.Non-elective admissions - CCG'!$D$5:$Q$215,14,0)*$H81</f>
        <v>288.09273726851848</v>
      </c>
    </row>
    <row r="82" spans="1:21">
      <c r="A82" s="395" t="s">
        <v>81</v>
      </c>
      <c r="B82" s="395" t="s">
        <v>80</v>
      </c>
      <c r="C82" s="395" t="s">
        <v>797</v>
      </c>
      <c r="D82" s="395" t="s">
        <v>507</v>
      </c>
      <c r="E82" s="537">
        <f>COUNTIF($D$5:D82,D82)</f>
        <v>1</v>
      </c>
      <c r="F82" s="537" t="str">
        <f t="shared" si="2"/>
        <v>Wokingham1</v>
      </c>
      <c r="G82" s="541" t="str">
        <f t="shared" si="3"/>
        <v>NHS Bracknell and Ascot CCG</v>
      </c>
      <c r="H82" s="546">
        <v>3.2682291666666662E-2</v>
      </c>
      <c r="I82" s="546">
        <v>2.7061832513731572E-2</v>
      </c>
      <c r="J82" s="384">
        <f>VLOOKUP($A82,'8.Non-elective admissions - CCG'!$D$5:$N$215,3,0)*$H82</f>
        <v>78.47018229166666</v>
      </c>
      <c r="K82" s="384">
        <f>VLOOKUP($A82,'8.Non-elective admissions - CCG'!$D$5:$N$215,4,0)*$H82</f>
        <v>80.659895833333323</v>
      </c>
      <c r="L82" s="384">
        <f>VLOOKUP($A82,'8.Non-elective admissions - CCG'!$D$5:$N$215,5,0)*$H82</f>
        <v>83.633984374999983</v>
      </c>
      <c r="M82" s="384">
        <f>VLOOKUP($A82,'8.Non-elective admissions - CCG'!$D$5:$N$215,6,0)*$H82</f>
        <v>80.95403645833332</v>
      </c>
      <c r="N82" s="384">
        <f>VLOOKUP($A82,'8.Non-elective admissions - CCG'!$D$5:$N$215,7,0)*$H82</f>
        <v>72.064453124999986</v>
      </c>
      <c r="O82" s="384">
        <f>VLOOKUP($A82,'8.Non-elective admissions - CCG'!$D$5:$N$215,8,0)*$H82</f>
        <v>74.384895833333317</v>
      </c>
      <c r="P82" s="384">
        <f>VLOOKUP($A82,'8.Non-elective admissions - CCG'!$D$5:$N$215,9,0)*$H82</f>
        <v>78.045312499999994</v>
      </c>
      <c r="Q82" s="384">
        <f>VLOOKUP($A82,'8.Non-elective admissions - CCG'!$D$5:$N$215,10,0)*$H82</f>
        <v>75.626822916666654</v>
      </c>
      <c r="R82" s="384">
        <f>VLOOKUP($A82,'8.Non-elective admissions - CCG'!$D$5:$Q$215,11,0)*$H82</f>
        <v>73.208333333333329</v>
      </c>
      <c r="S82" s="384">
        <f>VLOOKUP($A82,'8.Non-elective admissions - CCG'!$D$5:$Q$215,12,0)*$H82</f>
        <v>75.692187499999989</v>
      </c>
      <c r="T82" s="384">
        <f>VLOOKUP($A82,'8.Non-elective admissions - CCG'!$D$5:$Q$215,13,0)*$H82</f>
        <v>79.254557291666657</v>
      </c>
      <c r="U82" s="384">
        <f>VLOOKUP($A82,'8.Non-elective admissions - CCG'!$D$5:$Q$215,14,0)*$H82</f>
        <v>76.836067708333317</v>
      </c>
    </row>
    <row r="83" spans="1:21">
      <c r="A83" s="395" t="s">
        <v>85</v>
      </c>
      <c r="B83" s="395" t="s">
        <v>84</v>
      </c>
      <c r="C83" s="395" t="s">
        <v>662</v>
      </c>
      <c r="D83" s="395" t="s">
        <v>68</v>
      </c>
      <c r="E83" s="537">
        <f>COUNTIF($D$5:D83,D83)</f>
        <v>2</v>
      </c>
      <c r="F83" s="537" t="str">
        <f t="shared" si="2"/>
        <v>Bradford2</v>
      </c>
      <c r="G83" s="541" t="str">
        <f t="shared" si="3"/>
        <v>NHS Bradford City CCG</v>
      </c>
      <c r="H83" s="546">
        <v>0.99464863519455737</v>
      </c>
      <c r="I83" s="546">
        <v>0.21343585708156262</v>
      </c>
      <c r="J83" s="384">
        <f>VLOOKUP($A83,'8.Non-elective admissions - CCG'!$D$5:$N$215,3,0)*$H83</f>
        <v>3004.8335269227578</v>
      </c>
      <c r="K83" s="384">
        <f>VLOOKUP($A83,'8.Non-elective admissions - CCG'!$D$5:$N$215,4,0)*$H83</f>
        <v>3228.6294698415331</v>
      </c>
      <c r="L83" s="384">
        <f>VLOOKUP($A83,'8.Non-elective admissions - CCG'!$D$5:$N$215,5,0)*$H83</f>
        <v>3065.5070936696256</v>
      </c>
      <c r="M83" s="384">
        <f>VLOOKUP($A83,'8.Non-elective admissions - CCG'!$D$5:$N$215,6,0)*$H83</f>
        <v>3261.4528748029538</v>
      </c>
      <c r="N83" s="384">
        <f>VLOOKUP($A83,'8.Non-elective admissions - CCG'!$D$5:$N$215,7,0)*$H83</f>
        <v>3006.822824193147</v>
      </c>
      <c r="O83" s="384">
        <f>VLOOKUP($A83,'8.Non-elective admissions - CCG'!$D$5:$N$215,8,0)*$H83</f>
        <v>3104.2983904422135</v>
      </c>
      <c r="P83" s="384">
        <f>VLOOKUP($A83,'8.Non-elective admissions - CCG'!$D$5:$N$215,9,0)*$H83</f>
        <v>2947.1439060814737</v>
      </c>
      <c r="Q83" s="384">
        <f>VLOOKUP($A83,'8.Non-elective admissions - CCG'!$D$5:$N$215,10,0)*$H83</f>
        <v>3135.132498133245</v>
      </c>
      <c r="R83" s="384">
        <f>VLOOKUP($A83,'8.Non-elective admissions - CCG'!$D$5:$Q$215,11,0)*$H83</f>
        <v>2802.9198539782628</v>
      </c>
      <c r="S83" s="384">
        <f>VLOOKUP($A83,'8.Non-elective admissions - CCG'!$D$5:$Q$215,12,0)*$H83</f>
        <v>3008.8121214635362</v>
      </c>
      <c r="T83" s="384">
        <f>VLOOKUP($A83,'8.Non-elective admissions - CCG'!$D$5:$Q$215,13,0)*$H83</f>
        <v>2858.6201775491577</v>
      </c>
      <c r="U83" s="384">
        <f>VLOOKUP($A83,'8.Non-elective admissions - CCG'!$D$5:$Q$215,14,0)*$H83</f>
        <v>3039.6462291545672</v>
      </c>
    </row>
    <row r="84" spans="1:21">
      <c r="A84" s="395" t="s">
        <v>85</v>
      </c>
      <c r="B84" s="395" t="s">
        <v>84</v>
      </c>
      <c r="C84" s="395" t="s">
        <v>719</v>
      </c>
      <c r="D84" s="395" t="s">
        <v>273</v>
      </c>
      <c r="E84" s="537">
        <f>COUNTIF($D$5:D84,D84)</f>
        <v>1</v>
      </c>
      <c r="F84" s="537" t="str">
        <f t="shared" si="2"/>
        <v>Leeds1</v>
      </c>
      <c r="G84" s="541" t="str">
        <f t="shared" si="3"/>
        <v>NHS Bradford City CCG</v>
      </c>
      <c r="H84" s="546">
        <v>5.3513648054426283E-3</v>
      </c>
      <c r="I84" s="546">
        <v>0</v>
      </c>
      <c r="J84" s="384">
        <f>VLOOKUP($A84,'8.Non-elective admissions - CCG'!$D$5:$N$215,3,0)*$H84</f>
        <v>16.166473077242181</v>
      </c>
      <c r="K84" s="384">
        <f>VLOOKUP($A84,'8.Non-elective admissions - CCG'!$D$5:$N$215,4,0)*$H84</f>
        <v>17.370530158466771</v>
      </c>
      <c r="L84" s="384">
        <f>VLOOKUP($A84,'8.Non-elective admissions - CCG'!$D$5:$N$215,5,0)*$H84</f>
        <v>16.492906330374179</v>
      </c>
      <c r="M84" s="384">
        <f>VLOOKUP($A84,'8.Non-elective admissions - CCG'!$D$5:$N$215,6,0)*$H84</f>
        <v>17.547125197046377</v>
      </c>
      <c r="N84" s="384">
        <f>VLOOKUP($A84,'8.Non-elective admissions - CCG'!$D$5:$N$215,7,0)*$H84</f>
        <v>16.177175806853064</v>
      </c>
      <c r="O84" s="384">
        <f>VLOOKUP($A84,'8.Non-elective admissions - CCG'!$D$5:$N$215,8,0)*$H84</f>
        <v>16.701609557786444</v>
      </c>
      <c r="P84" s="384">
        <f>VLOOKUP($A84,'8.Non-elective admissions - CCG'!$D$5:$N$215,9,0)*$H84</f>
        <v>15.856093918526508</v>
      </c>
      <c r="Q84" s="384">
        <f>VLOOKUP($A84,'8.Non-elective admissions - CCG'!$D$5:$N$215,10,0)*$H84</f>
        <v>16.867501866755166</v>
      </c>
      <c r="R84" s="384">
        <f>VLOOKUP($A84,'8.Non-elective admissions - CCG'!$D$5:$Q$215,11,0)*$H84</f>
        <v>15.080146021737328</v>
      </c>
      <c r="S84" s="384">
        <f>VLOOKUP($A84,'8.Non-elective admissions - CCG'!$D$5:$Q$215,12,0)*$H84</f>
        <v>16.187878536463952</v>
      </c>
      <c r="T84" s="384">
        <f>VLOOKUP($A84,'8.Non-elective admissions - CCG'!$D$5:$Q$215,13,0)*$H84</f>
        <v>15.379822450842115</v>
      </c>
      <c r="U84" s="384">
        <f>VLOOKUP($A84,'8.Non-elective admissions - CCG'!$D$5:$Q$215,14,0)*$H84</f>
        <v>16.35377084543267</v>
      </c>
    </row>
    <row r="85" spans="1:21">
      <c r="A85" s="395" t="s">
        <v>88</v>
      </c>
      <c r="B85" s="395" t="s">
        <v>87</v>
      </c>
      <c r="C85" s="395" t="s">
        <v>662</v>
      </c>
      <c r="D85" s="395" t="s">
        <v>68</v>
      </c>
      <c r="E85" s="537">
        <f>COUNTIF($D$5:D85,D85)</f>
        <v>3</v>
      </c>
      <c r="F85" s="537" t="str">
        <f t="shared" si="2"/>
        <v>Bradford3</v>
      </c>
      <c r="G85" s="541" t="str">
        <f t="shared" si="3"/>
        <v>NHS Bradford Districts CCG</v>
      </c>
      <c r="H85" s="546">
        <v>0.97755163925653754</v>
      </c>
      <c r="I85" s="546">
        <v>0.58541262010607265</v>
      </c>
      <c r="J85" s="384">
        <f>VLOOKUP($A85,'8.Non-elective admissions - CCG'!$D$5:$N$215,3,0)*$H85</f>
        <v>9103.9384163961349</v>
      </c>
      <c r="K85" s="384">
        <f>VLOOKUP($A85,'8.Non-elective admissions - CCG'!$D$5:$N$215,4,0)*$H85</f>
        <v>9141.0853786878833</v>
      </c>
      <c r="L85" s="384">
        <f>VLOOKUP($A85,'8.Non-elective admissions - CCG'!$D$5:$N$215,5,0)*$H85</f>
        <v>9305.3140540829809</v>
      </c>
      <c r="M85" s="384">
        <f>VLOOKUP($A85,'8.Non-elective admissions - CCG'!$D$5:$N$215,6,0)*$H85</f>
        <v>9221.2446131069191</v>
      </c>
      <c r="N85" s="384">
        <f>VLOOKUP($A85,'8.Non-elective admissions - CCG'!$D$5:$N$215,7,0)*$H85</f>
        <v>9209.5139934358394</v>
      </c>
      <c r="O85" s="384">
        <f>VLOOKUP($A85,'8.Non-elective admissions - CCG'!$D$5:$N$215,8,0)*$H85</f>
        <v>8880.0790910063879</v>
      </c>
      <c r="P85" s="384">
        <f>VLOOKUP($A85,'8.Non-elective admissions - CCG'!$D$5:$N$215,9,0)*$H85</f>
        <v>9035.509801648177</v>
      </c>
      <c r="Q85" s="384">
        <f>VLOOKUP($A85,'8.Non-elective admissions - CCG'!$D$5:$N$215,10,0)*$H85</f>
        <v>8949.4852573936005</v>
      </c>
      <c r="R85" s="384">
        <f>VLOOKUP($A85,'8.Non-elective admissions - CCG'!$D$5:$Q$215,11,0)*$H85</f>
        <v>8591.7013574257089</v>
      </c>
      <c r="S85" s="384">
        <f>VLOOKUP($A85,'8.Non-elective admissions - CCG'!$D$5:$Q$215,12,0)*$H85</f>
        <v>8611.2523902108387</v>
      </c>
      <c r="T85" s="384">
        <f>VLOOKUP($A85,'8.Non-elective admissions - CCG'!$D$5:$Q$215,13,0)*$H85</f>
        <v>8757.8851360993194</v>
      </c>
      <c r="U85" s="384">
        <f>VLOOKUP($A85,'8.Non-elective admissions - CCG'!$D$5:$Q$215,14,0)*$H85</f>
        <v>8672.8381434840012</v>
      </c>
    </row>
    <row r="86" spans="1:21">
      <c r="A86" s="395" t="s">
        <v>88</v>
      </c>
      <c r="B86" s="395" t="s">
        <v>87</v>
      </c>
      <c r="C86" s="395" t="s">
        <v>669</v>
      </c>
      <c r="D86" s="395" t="s">
        <v>94</v>
      </c>
      <c r="E86" s="537">
        <f>COUNTIF($D$5:D86,D86)</f>
        <v>1</v>
      </c>
      <c r="F86" s="537" t="str">
        <f t="shared" si="2"/>
        <v>Calderdale1</v>
      </c>
      <c r="G86" s="541" t="str">
        <f t="shared" si="3"/>
        <v>NHS Bradford Districts CCG</v>
      </c>
      <c r="H86" s="546">
        <v>4.4712401745686326E-3</v>
      </c>
      <c r="I86" s="546">
        <v>6.966575261246573E-3</v>
      </c>
      <c r="J86" s="384">
        <f>VLOOKUP($A86,'8.Non-elective admissions - CCG'!$D$5:$N$215,3,0)*$H86</f>
        <v>41.640659745757674</v>
      </c>
      <c r="K86" s="384">
        <f>VLOOKUP($A86,'8.Non-elective admissions - CCG'!$D$5:$N$215,4,0)*$H86</f>
        <v>41.810566872391284</v>
      </c>
      <c r="L86" s="384">
        <f>VLOOKUP($A86,'8.Non-elective admissions - CCG'!$D$5:$N$215,5,0)*$H86</f>
        <v>42.561735221718813</v>
      </c>
      <c r="M86" s="384">
        <f>VLOOKUP($A86,'8.Non-elective admissions - CCG'!$D$5:$N$215,6,0)*$H86</f>
        <v>42.177208566705914</v>
      </c>
      <c r="N86" s="384">
        <f>VLOOKUP($A86,'8.Non-elective admissions - CCG'!$D$5:$N$215,7,0)*$H86</f>
        <v>42.123553684611089</v>
      </c>
      <c r="O86" s="384">
        <f>VLOOKUP($A86,'8.Non-elective admissions - CCG'!$D$5:$N$215,8,0)*$H86</f>
        <v>40.616745745781458</v>
      </c>
      <c r="P86" s="384">
        <f>VLOOKUP($A86,'8.Non-elective admissions - CCG'!$D$5:$N$215,9,0)*$H86</f>
        <v>41.327672933537869</v>
      </c>
      <c r="Q86" s="384">
        <f>VLOOKUP($A86,'8.Non-elective admissions - CCG'!$D$5:$N$215,10,0)*$H86</f>
        <v>40.93420379817583</v>
      </c>
      <c r="R86" s="384">
        <f>VLOOKUP($A86,'8.Non-elective admissions - CCG'!$D$5:$Q$215,11,0)*$H86</f>
        <v>39.297729894283712</v>
      </c>
      <c r="S86" s="384">
        <f>VLOOKUP($A86,'8.Non-elective admissions - CCG'!$D$5:$Q$215,12,0)*$H86</f>
        <v>39.387154697775081</v>
      </c>
      <c r="T86" s="384">
        <f>VLOOKUP($A86,'8.Non-elective admissions - CCG'!$D$5:$Q$215,13,0)*$H86</f>
        <v>40.057840723960382</v>
      </c>
      <c r="U86" s="384">
        <f>VLOOKUP($A86,'8.Non-elective admissions - CCG'!$D$5:$Q$215,14,0)*$H86</f>
        <v>39.66884282877291</v>
      </c>
    </row>
    <row r="87" spans="1:21">
      <c r="A87" s="395" t="s">
        <v>88</v>
      </c>
      <c r="B87" s="395" t="s">
        <v>87</v>
      </c>
      <c r="C87" s="395" t="s">
        <v>715</v>
      </c>
      <c r="D87" s="395" t="s">
        <v>261</v>
      </c>
      <c r="E87" s="537">
        <f>COUNTIF($D$5:D87,D87)</f>
        <v>2</v>
      </c>
      <c r="F87" s="537" t="str">
        <f t="shared" si="2"/>
        <v>Kirklees2</v>
      </c>
      <c r="G87" s="541" t="str">
        <f t="shared" si="3"/>
        <v>NHS Bradford Districts CCG</v>
      </c>
      <c r="H87" s="546">
        <v>1.0339742903689962E-2</v>
      </c>
      <c r="I87" s="546">
        <v>7.9249522064771313E-3</v>
      </c>
      <c r="J87" s="384">
        <f>VLOOKUP($A87,'8.Non-elective admissions - CCG'!$D$5:$N$215,3,0)*$H87</f>
        <v>96.294025662064612</v>
      </c>
      <c r="K87" s="384">
        <f>VLOOKUP($A87,'8.Non-elective admissions - CCG'!$D$5:$N$215,4,0)*$H87</f>
        <v>96.686935892404833</v>
      </c>
      <c r="L87" s="384">
        <f>VLOOKUP($A87,'8.Non-elective admissions - CCG'!$D$5:$N$215,5,0)*$H87</f>
        <v>98.42401270022475</v>
      </c>
      <c r="M87" s="384">
        <f>VLOOKUP($A87,'8.Non-elective admissions - CCG'!$D$5:$N$215,6,0)*$H87</f>
        <v>97.534794810507407</v>
      </c>
      <c r="N87" s="384">
        <f>VLOOKUP($A87,'8.Non-elective admissions - CCG'!$D$5:$N$215,7,0)*$H87</f>
        <v>97.41071789566314</v>
      </c>
      <c r="O87" s="384">
        <f>VLOOKUP($A87,'8.Non-elective admissions - CCG'!$D$5:$N$215,8,0)*$H87</f>
        <v>93.926224537119623</v>
      </c>
      <c r="P87" s="384">
        <f>VLOOKUP($A87,'8.Non-elective admissions - CCG'!$D$5:$N$215,9,0)*$H87</f>
        <v>95.570243658806319</v>
      </c>
      <c r="Q87" s="384">
        <f>VLOOKUP($A87,'8.Non-elective admissions - CCG'!$D$5:$N$215,10,0)*$H87</f>
        <v>94.660346283281598</v>
      </c>
      <c r="R87" s="384">
        <f>VLOOKUP($A87,'8.Non-elective admissions - CCG'!$D$5:$Q$215,11,0)*$H87</f>
        <v>90.876000380531082</v>
      </c>
      <c r="S87" s="384">
        <f>VLOOKUP($A87,'8.Non-elective admissions - CCG'!$D$5:$Q$215,12,0)*$H87</f>
        <v>91.082795238604874</v>
      </c>
      <c r="T87" s="384">
        <f>VLOOKUP($A87,'8.Non-elective admissions - CCG'!$D$5:$Q$215,13,0)*$H87</f>
        <v>92.633756674158377</v>
      </c>
      <c r="U87" s="384">
        <f>VLOOKUP($A87,'8.Non-elective admissions - CCG'!$D$5:$Q$215,14,0)*$H87</f>
        <v>91.734199041537337</v>
      </c>
    </row>
    <row r="88" spans="1:21">
      <c r="A88" s="395" t="s">
        <v>88</v>
      </c>
      <c r="B88" s="395" t="s">
        <v>87</v>
      </c>
      <c r="C88" s="395" t="s">
        <v>719</v>
      </c>
      <c r="D88" s="395" t="s">
        <v>273</v>
      </c>
      <c r="E88" s="537">
        <f>COUNTIF($D$5:D88,D88)</f>
        <v>2</v>
      </c>
      <c r="F88" s="537" t="str">
        <f t="shared" si="2"/>
        <v>Leeds2</v>
      </c>
      <c r="G88" s="541" t="str">
        <f t="shared" si="3"/>
        <v>NHS Bradford Districts CCG</v>
      </c>
      <c r="H88" s="546">
        <v>7.6373776652040011E-3</v>
      </c>
      <c r="I88" s="546">
        <v>3.105094579077778E-3</v>
      </c>
      <c r="J88" s="384">
        <f>VLOOKUP($A88,'8.Non-elective admissions - CCG'!$D$5:$N$215,3,0)*$H88</f>
        <v>71.126898196044863</v>
      </c>
      <c r="K88" s="384">
        <f>VLOOKUP($A88,'8.Non-elective admissions - CCG'!$D$5:$N$215,4,0)*$H88</f>
        <v>71.417118547322616</v>
      </c>
      <c r="L88" s="384">
        <f>VLOOKUP($A88,'8.Non-elective admissions - CCG'!$D$5:$N$215,5,0)*$H88</f>
        <v>72.700197995076891</v>
      </c>
      <c r="M88" s="384">
        <f>VLOOKUP($A88,'8.Non-elective admissions - CCG'!$D$5:$N$215,6,0)*$H88</f>
        <v>72.043383515869337</v>
      </c>
      <c r="N88" s="384">
        <f>VLOOKUP($A88,'8.Non-elective admissions - CCG'!$D$5:$N$215,7,0)*$H88</f>
        <v>71.951734983886894</v>
      </c>
      <c r="O88" s="384">
        <f>VLOOKUP($A88,'8.Non-elective admissions - CCG'!$D$5:$N$215,8,0)*$H88</f>
        <v>69.377938710713153</v>
      </c>
      <c r="P88" s="384">
        <f>VLOOKUP($A88,'8.Non-elective admissions - CCG'!$D$5:$N$215,9,0)*$H88</f>
        <v>70.592281759480585</v>
      </c>
      <c r="Q88" s="384">
        <f>VLOOKUP($A88,'8.Non-elective admissions - CCG'!$D$5:$N$215,10,0)*$H88</f>
        <v>69.920192524942635</v>
      </c>
      <c r="R88" s="384">
        <f>VLOOKUP($A88,'8.Non-elective admissions - CCG'!$D$5:$Q$215,11,0)*$H88</f>
        <v>67.12491229947797</v>
      </c>
      <c r="S88" s="384">
        <f>VLOOKUP($A88,'8.Non-elective admissions - CCG'!$D$5:$Q$215,12,0)*$H88</f>
        <v>67.277659852782051</v>
      </c>
      <c r="T88" s="384">
        <f>VLOOKUP($A88,'8.Non-elective admissions - CCG'!$D$5:$Q$215,13,0)*$H88</f>
        <v>68.42326650256264</v>
      </c>
      <c r="U88" s="384">
        <f>VLOOKUP($A88,'8.Non-elective admissions - CCG'!$D$5:$Q$215,14,0)*$H88</f>
        <v>67.758814645689895</v>
      </c>
    </row>
    <row r="89" spans="1:21">
      <c r="A89" s="395" t="s">
        <v>92</v>
      </c>
      <c r="B89" s="395" t="s">
        <v>91</v>
      </c>
      <c r="C89" s="395" t="s">
        <v>651</v>
      </c>
      <c r="D89" s="395" t="s">
        <v>16</v>
      </c>
      <c r="E89" s="537">
        <f>COUNTIF($D$5:D89,D89)</f>
        <v>2</v>
      </c>
      <c r="F89" s="537" t="str">
        <f t="shared" si="2"/>
        <v>Barnet2</v>
      </c>
      <c r="G89" s="541" t="str">
        <f t="shared" si="3"/>
        <v>NHS Brent CCG</v>
      </c>
      <c r="H89" s="546">
        <v>1.9352685083368862E-2</v>
      </c>
      <c r="I89" s="546">
        <v>1.8187282347079461E-2</v>
      </c>
      <c r="J89" s="384">
        <f>VLOOKUP($A89,'8.Non-elective admissions - CCG'!$D$5:$N$215,3,0)*$H89</f>
        <v>148.43509458943916</v>
      </c>
      <c r="K89" s="384">
        <f>VLOOKUP($A89,'8.Non-elective admissions - CCG'!$D$5:$N$215,4,0)*$H89</f>
        <v>143.9452716500976</v>
      </c>
      <c r="L89" s="384">
        <f>VLOOKUP($A89,'8.Non-elective admissions - CCG'!$D$5:$N$215,5,0)*$H89</f>
        <v>149.2866127331074</v>
      </c>
      <c r="M89" s="384">
        <f>VLOOKUP($A89,'8.Non-elective admissions - CCG'!$D$5:$N$215,6,0)*$H89</f>
        <v>151.24123392652766</v>
      </c>
      <c r="N89" s="384">
        <f>VLOOKUP($A89,'8.Non-elective admissions - CCG'!$D$5:$N$215,7,0)*$H89</f>
        <v>148.2996257938556</v>
      </c>
      <c r="O89" s="384">
        <f>VLOOKUP($A89,'8.Non-elective admissions - CCG'!$D$5:$N$215,8,0)*$H89</f>
        <v>143.2679276721797</v>
      </c>
      <c r="P89" s="384">
        <f>VLOOKUP($A89,'8.Non-elective admissions - CCG'!$D$5:$N$215,9,0)*$H89</f>
        <v>147.7383979264379</v>
      </c>
      <c r="Q89" s="384">
        <f>VLOOKUP($A89,'8.Non-elective admissions - CCG'!$D$5:$N$215,10,0)*$H89</f>
        <v>149.80913523035835</v>
      </c>
      <c r="R89" s="384">
        <f>VLOOKUP($A89,'8.Non-elective admissions - CCG'!$D$5:$Q$215,11,0)*$H89</f>
        <v>142.76475786001208</v>
      </c>
      <c r="S89" s="384">
        <f>VLOOKUP($A89,'8.Non-elective admissions - CCG'!$D$5:$Q$215,12,0)*$H89</f>
        <v>137.48147483225239</v>
      </c>
      <c r="T89" s="384">
        <f>VLOOKUP($A89,'8.Non-elective admissions - CCG'!$D$5:$Q$215,13,0)*$H89</f>
        <v>142.24223536276114</v>
      </c>
      <c r="U89" s="384">
        <f>VLOOKUP($A89,'8.Non-elective admissions - CCG'!$D$5:$Q$215,14,0)*$H89</f>
        <v>144.33232535176498</v>
      </c>
    </row>
    <row r="90" spans="1:21">
      <c r="A90" s="395" t="s">
        <v>92</v>
      </c>
      <c r="B90" s="395" t="s">
        <v>91</v>
      </c>
      <c r="C90" s="395" t="s">
        <v>663</v>
      </c>
      <c r="D90" s="395" t="s">
        <v>72</v>
      </c>
      <c r="E90" s="537">
        <f>COUNTIF($D$5:D90,D90)</f>
        <v>2</v>
      </c>
      <c r="F90" s="537" t="str">
        <f t="shared" si="2"/>
        <v>Brent2</v>
      </c>
      <c r="G90" s="541" t="str">
        <f t="shared" si="3"/>
        <v>NHS Brent CCG</v>
      </c>
      <c r="H90" s="546">
        <v>0.89483516976728505</v>
      </c>
      <c r="I90" s="546">
        <v>0.8735435145148791</v>
      </c>
      <c r="J90" s="384">
        <f>VLOOKUP($A90,'8.Non-elective admissions - CCG'!$D$5:$N$215,3,0)*$H90</f>
        <v>6863.3857521150767</v>
      </c>
      <c r="K90" s="384">
        <f>VLOOKUP($A90,'8.Non-elective admissions - CCG'!$D$5:$N$215,4,0)*$H90</f>
        <v>6655.7839927290661</v>
      </c>
      <c r="L90" s="384">
        <f>VLOOKUP($A90,'8.Non-elective admissions - CCG'!$D$5:$N$215,5,0)*$H90</f>
        <v>6902.7584995848365</v>
      </c>
      <c r="M90" s="384">
        <f>VLOOKUP($A90,'8.Non-elective admissions - CCG'!$D$5:$N$215,6,0)*$H90</f>
        <v>6993.1368517313331</v>
      </c>
      <c r="N90" s="384">
        <f>VLOOKUP($A90,'8.Non-elective admissions - CCG'!$D$5:$N$215,7,0)*$H90</f>
        <v>6857.121905926705</v>
      </c>
      <c r="O90" s="384">
        <f>VLOOKUP($A90,'8.Non-elective admissions - CCG'!$D$5:$N$215,8,0)*$H90</f>
        <v>6624.4647617872115</v>
      </c>
      <c r="P90" s="384">
        <f>VLOOKUP($A90,'8.Non-elective admissions - CCG'!$D$5:$N$215,9,0)*$H90</f>
        <v>6831.1716860034539</v>
      </c>
      <c r="Q90" s="384">
        <f>VLOOKUP($A90,'8.Non-elective admissions - CCG'!$D$5:$N$215,10,0)*$H90</f>
        <v>6926.919049168554</v>
      </c>
      <c r="R90" s="384">
        <f>VLOOKUP($A90,'8.Non-elective admissions - CCG'!$D$5:$Q$215,11,0)*$H90</f>
        <v>6601.1990473732621</v>
      </c>
      <c r="S90" s="384">
        <f>VLOOKUP($A90,'8.Non-elective admissions - CCG'!$D$5:$Q$215,12,0)*$H90</f>
        <v>6356.9090460267935</v>
      </c>
      <c r="T90" s="384">
        <f>VLOOKUP($A90,'8.Non-elective admissions - CCG'!$D$5:$Q$215,13,0)*$H90</f>
        <v>6577.0384977895455</v>
      </c>
      <c r="U90" s="384">
        <f>VLOOKUP($A90,'8.Non-elective admissions - CCG'!$D$5:$Q$215,14,0)*$H90</f>
        <v>6673.680696124412</v>
      </c>
    </row>
    <row r="91" spans="1:21">
      <c r="A91" s="395" t="s">
        <v>92</v>
      </c>
      <c r="B91" s="395" t="s">
        <v>91</v>
      </c>
      <c r="C91" s="395" t="s">
        <v>671</v>
      </c>
      <c r="D91" s="395" t="s">
        <v>102</v>
      </c>
      <c r="E91" s="537">
        <f>COUNTIF($D$5:D91,D91)</f>
        <v>2</v>
      </c>
      <c r="F91" s="537" t="str">
        <f t="shared" si="2"/>
        <v>Camden2</v>
      </c>
      <c r="G91" s="541" t="str">
        <f t="shared" si="3"/>
        <v>NHS Brent CCG</v>
      </c>
      <c r="H91" s="546">
        <v>1.548158703799286E-2</v>
      </c>
      <c r="I91" s="546">
        <v>2.2579523371177249E-2</v>
      </c>
      <c r="J91" s="384">
        <f>VLOOKUP($A91,'8.Non-elective admissions - CCG'!$D$5:$N$215,3,0)*$H91</f>
        <v>118.74377258140524</v>
      </c>
      <c r="K91" s="384">
        <f>VLOOKUP($A91,'8.Non-elective admissions - CCG'!$D$5:$N$215,4,0)*$H91</f>
        <v>115.15204438859089</v>
      </c>
      <c r="L91" s="384">
        <f>VLOOKUP($A91,'8.Non-elective admissions - CCG'!$D$5:$N$215,5,0)*$H91</f>
        <v>119.42496241107692</v>
      </c>
      <c r="M91" s="384">
        <f>VLOOKUP($A91,'8.Non-elective admissions - CCG'!$D$5:$N$215,6,0)*$H91</f>
        <v>120.9886027019142</v>
      </c>
      <c r="N91" s="384">
        <f>VLOOKUP($A91,'8.Non-elective admissions - CCG'!$D$5:$N$215,7,0)*$H91</f>
        <v>118.63540147213929</v>
      </c>
      <c r="O91" s="384">
        <f>VLOOKUP($A91,'8.Non-elective admissions - CCG'!$D$5:$N$215,8,0)*$H91</f>
        <v>114.61018884226115</v>
      </c>
      <c r="P91" s="384">
        <f>VLOOKUP($A91,'8.Non-elective admissions - CCG'!$D$5:$N$215,9,0)*$H91</f>
        <v>118.1864354480375</v>
      </c>
      <c r="Q91" s="384">
        <f>VLOOKUP($A91,'8.Non-elective admissions - CCG'!$D$5:$N$215,10,0)*$H91</f>
        <v>119.84296526110273</v>
      </c>
      <c r="R91" s="384">
        <f>VLOOKUP($A91,'8.Non-elective admissions - CCG'!$D$5:$Q$215,11,0)*$H91</f>
        <v>114.20766757927333</v>
      </c>
      <c r="S91" s="384">
        <f>VLOOKUP($A91,'8.Non-elective admissions - CCG'!$D$5:$Q$215,12,0)*$H91</f>
        <v>109.98119431790128</v>
      </c>
      <c r="T91" s="384">
        <f>VLOOKUP($A91,'8.Non-elective admissions - CCG'!$D$5:$Q$215,13,0)*$H91</f>
        <v>113.78966472924752</v>
      </c>
      <c r="U91" s="384">
        <f>VLOOKUP($A91,'8.Non-elective admissions - CCG'!$D$5:$Q$215,14,0)*$H91</f>
        <v>115.46167612935075</v>
      </c>
    </row>
    <row r="92" spans="1:21">
      <c r="A92" s="395" t="s">
        <v>92</v>
      </c>
      <c r="B92" s="395" t="s">
        <v>91</v>
      </c>
      <c r="C92" s="395" t="s">
        <v>688</v>
      </c>
      <c r="D92" s="395" t="s">
        <v>166</v>
      </c>
      <c r="E92" s="537">
        <f>COUNTIF($D$5:D92,D92)</f>
        <v>1</v>
      </c>
      <c r="F92" s="537" t="str">
        <f t="shared" si="2"/>
        <v>Ealing1</v>
      </c>
      <c r="G92" s="541" t="str">
        <f t="shared" si="3"/>
        <v>NHS Brent CCG</v>
      </c>
      <c r="H92" s="546">
        <v>1.6309104373779762E-2</v>
      </c>
      <c r="I92" s="546">
        <v>1.476732697158039E-2</v>
      </c>
      <c r="J92" s="384">
        <f>VLOOKUP($A92,'8.Non-elective admissions - CCG'!$D$5:$N$215,3,0)*$H92</f>
        <v>125.09083054689077</v>
      </c>
      <c r="K92" s="384">
        <f>VLOOKUP($A92,'8.Non-elective admissions - CCG'!$D$5:$N$215,4,0)*$H92</f>
        <v>121.30711833217387</v>
      </c>
      <c r="L92" s="384">
        <f>VLOOKUP($A92,'8.Non-elective admissions - CCG'!$D$5:$N$215,5,0)*$H92</f>
        <v>125.80843113933709</v>
      </c>
      <c r="M92" s="384">
        <f>VLOOKUP($A92,'8.Non-elective admissions - CCG'!$D$5:$N$215,6,0)*$H92</f>
        <v>127.45565068108884</v>
      </c>
      <c r="N92" s="384">
        <f>VLOOKUP($A92,'8.Non-elective admissions - CCG'!$D$5:$N$215,7,0)*$H92</f>
        <v>124.97666681627432</v>
      </c>
      <c r="O92" s="384">
        <f>VLOOKUP($A92,'8.Non-elective admissions - CCG'!$D$5:$N$215,8,0)*$H92</f>
        <v>120.73629967909157</v>
      </c>
      <c r="P92" s="384">
        <f>VLOOKUP($A92,'8.Non-elective admissions - CCG'!$D$5:$N$215,9,0)*$H92</f>
        <v>124.5037027894347</v>
      </c>
      <c r="Q92" s="384">
        <f>VLOOKUP($A92,'8.Non-elective admissions - CCG'!$D$5:$N$215,10,0)*$H92</f>
        <v>126.24877695742914</v>
      </c>
      <c r="R92" s="384">
        <f>VLOOKUP($A92,'8.Non-elective admissions - CCG'!$D$5:$Q$215,11,0)*$H92</f>
        <v>120.31226296537331</v>
      </c>
      <c r="S92" s="384">
        <f>VLOOKUP($A92,'8.Non-elective admissions - CCG'!$D$5:$Q$215,12,0)*$H92</f>
        <v>115.85987747133143</v>
      </c>
      <c r="T92" s="384">
        <f>VLOOKUP($A92,'8.Non-elective admissions - CCG'!$D$5:$Q$215,13,0)*$H92</f>
        <v>119.87191714728125</v>
      </c>
      <c r="U92" s="384">
        <f>VLOOKUP($A92,'8.Non-elective admissions - CCG'!$D$5:$Q$215,14,0)*$H92</f>
        <v>121.63330041964946</v>
      </c>
    </row>
    <row r="93" spans="1:21">
      <c r="A93" s="395" t="s">
        <v>92</v>
      </c>
      <c r="B93" s="395" t="s">
        <v>91</v>
      </c>
      <c r="C93" s="395" t="s">
        <v>698</v>
      </c>
      <c r="D93" s="395" t="s">
        <v>202</v>
      </c>
      <c r="E93" s="537">
        <f>COUNTIF($D$5:D93,D93)</f>
        <v>1</v>
      </c>
      <c r="F93" s="537" t="str">
        <f t="shared" si="2"/>
        <v>Hammersmith and Fulham1</v>
      </c>
      <c r="G93" s="541" t="str">
        <f t="shared" si="3"/>
        <v>NHS Brent CCG</v>
      </c>
      <c r="H93" s="546">
        <v>3.1642018805682092E-3</v>
      </c>
      <c r="I93" s="546">
        <v>5.4079191496910111E-3</v>
      </c>
      <c r="J93" s="384">
        <f>VLOOKUP($A93,'8.Non-elective admissions - CCG'!$D$5:$N$215,3,0)*$H93</f>
        <v>24.269428423958164</v>
      </c>
      <c r="K93" s="384">
        <f>VLOOKUP($A93,'8.Non-elective admissions - CCG'!$D$5:$N$215,4,0)*$H93</f>
        <v>23.53533358766634</v>
      </c>
      <c r="L93" s="384">
        <f>VLOOKUP($A93,'8.Non-elective admissions - CCG'!$D$5:$N$215,5,0)*$H93</f>
        <v>24.408653306703165</v>
      </c>
      <c r="M93" s="384">
        <f>VLOOKUP($A93,'8.Non-elective admissions - CCG'!$D$5:$N$215,6,0)*$H93</f>
        <v>24.728237696640555</v>
      </c>
      <c r="N93" s="384">
        <f>VLOOKUP($A93,'8.Non-elective admissions - CCG'!$D$5:$N$215,7,0)*$H93</f>
        <v>24.247279010794188</v>
      </c>
      <c r="O93" s="384">
        <f>VLOOKUP($A93,'8.Non-elective admissions - CCG'!$D$5:$N$215,8,0)*$H93</f>
        <v>23.424586521846454</v>
      </c>
      <c r="P93" s="384">
        <f>VLOOKUP($A93,'8.Non-elective admissions - CCG'!$D$5:$N$215,9,0)*$H93</f>
        <v>24.155517156257709</v>
      </c>
      <c r="Q93" s="384">
        <f>VLOOKUP($A93,'8.Non-elective admissions - CCG'!$D$5:$N$215,10,0)*$H93</f>
        <v>24.494086757478506</v>
      </c>
      <c r="R93" s="384">
        <f>VLOOKUP($A93,'8.Non-elective admissions - CCG'!$D$5:$Q$215,11,0)*$H93</f>
        <v>23.342317272951679</v>
      </c>
      <c r="S93" s="384">
        <f>VLOOKUP($A93,'8.Non-elective admissions - CCG'!$D$5:$Q$215,12,0)*$H93</f>
        <v>22.478490159556557</v>
      </c>
      <c r="T93" s="384">
        <f>VLOOKUP($A93,'8.Non-elective admissions - CCG'!$D$5:$Q$215,13,0)*$H93</f>
        <v>23.256883822176338</v>
      </c>
      <c r="U93" s="384">
        <f>VLOOKUP($A93,'8.Non-elective admissions - CCG'!$D$5:$Q$215,14,0)*$H93</f>
        <v>23.598617625277704</v>
      </c>
    </row>
    <row r="94" spans="1:21">
      <c r="A94" s="395" t="s">
        <v>92</v>
      </c>
      <c r="B94" s="395" t="s">
        <v>91</v>
      </c>
      <c r="C94" s="395" t="s">
        <v>701</v>
      </c>
      <c r="D94" s="395" t="s">
        <v>212</v>
      </c>
      <c r="E94" s="537">
        <f>COUNTIF($D$5:D94,D94)</f>
        <v>2</v>
      </c>
      <c r="F94" s="537" t="str">
        <f t="shared" si="2"/>
        <v>Harrow2</v>
      </c>
      <c r="G94" s="541" t="str">
        <f t="shared" si="3"/>
        <v>NHS Brent CCG</v>
      </c>
      <c r="H94" s="546">
        <v>3.7535625322591498E-2</v>
      </c>
      <c r="I94" s="546">
        <v>4.9853394285543973E-2</v>
      </c>
      <c r="J94" s="384">
        <f>VLOOKUP($A94,'8.Non-elective admissions - CCG'!$D$5:$N$215,3,0)*$H94</f>
        <v>287.89824622427682</v>
      </c>
      <c r="K94" s="384">
        <f>VLOOKUP($A94,'8.Non-elective admissions - CCG'!$D$5:$N$215,4,0)*$H94</f>
        <v>279.18998114943554</v>
      </c>
      <c r="L94" s="384">
        <f>VLOOKUP($A94,'8.Non-elective admissions - CCG'!$D$5:$N$215,5,0)*$H94</f>
        <v>289.54981373847079</v>
      </c>
      <c r="M94" s="384">
        <f>VLOOKUP($A94,'8.Non-elective admissions - CCG'!$D$5:$N$215,6,0)*$H94</f>
        <v>293.34091189605255</v>
      </c>
      <c r="N94" s="384">
        <f>VLOOKUP($A94,'8.Non-elective admissions - CCG'!$D$5:$N$215,7,0)*$H94</f>
        <v>287.63549684701866</v>
      </c>
      <c r="O94" s="384">
        <f>VLOOKUP($A94,'8.Non-elective admissions - CCG'!$D$5:$N$215,8,0)*$H94</f>
        <v>277.87623426314485</v>
      </c>
      <c r="P94" s="384">
        <f>VLOOKUP($A94,'8.Non-elective admissions - CCG'!$D$5:$N$215,9,0)*$H94</f>
        <v>286.54696371266351</v>
      </c>
      <c r="Q94" s="384">
        <f>VLOOKUP($A94,'8.Non-elective admissions - CCG'!$D$5:$N$215,10,0)*$H94</f>
        <v>290.56327562218081</v>
      </c>
      <c r="R94" s="384">
        <f>VLOOKUP($A94,'8.Non-elective admissions - CCG'!$D$5:$Q$215,11,0)*$H94</f>
        <v>276.90030800475751</v>
      </c>
      <c r="S94" s="384">
        <f>VLOOKUP($A94,'8.Non-elective admissions - CCG'!$D$5:$Q$215,12,0)*$H94</f>
        <v>266.65308229169</v>
      </c>
      <c r="T94" s="384">
        <f>VLOOKUP($A94,'8.Non-elective admissions - CCG'!$D$5:$Q$215,13,0)*$H94</f>
        <v>275.88684612104748</v>
      </c>
      <c r="U94" s="384">
        <f>VLOOKUP($A94,'8.Non-elective admissions - CCG'!$D$5:$Q$215,14,0)*$H94</f>
        <v>279.9406936558874</v>
      </c>
    </row>
    <row r="95" spans="1:21">
      <c r="A95" s="395" t="s">
        <v>92</v>
      </c>
      <c r="B95" s="395" t="s">
        <v>91</v>
      </c>
      <c r="C95" s="395" t="s">
        <v>711</v>
      </c>
      <c r="D95" s="395" t="s">
        <v>248</v>
      </c>
      <c r="E95" s="537">
        <f>COUNTIF($D$5:D95,D95)</f>
        <v>1</v>
      </c>
      <c r="F95" s="537" t="str">
        <f t="shared" si="2"/>
        <v>Kensington and Chelsea1</v>
      </c>
      <c r="G95" s="541" t="str">
        <f t="shared" si="3"/>
        <v>NHS Brent CCG</v>
      </c>
      <c r="H95" s="546">
        <v>0</v>
      </c>
      <c r="I95" s="546">
        <v>1.190988395657569E-3</v>
      </c>
      <c r="J95" s="384">
        <f>VLOOKUP($A95,'8.Non-elective admissions - CCG'!$D$5:$N$215,3,0)*$H95</f>
        <v>0</v>
      </c>
      <c r="K95" s="384">
        <f>VLOOKUP($A95,'8.Non-elective admissions - CCG'!$D$5:$N$215,4,0)*$H95</f>
        <v>0</v>
      </c>
      <c r="L95" s="384">
        <f>VLOOKUP($A95,'8.Non-elective admissions - CCG'!$D$5:$N$215,5,0)*$H95</f>
        <v>0</v>
      </c>
      <c r="M95" s="384">
        <f>VLOOKUP($A95,'8.Non-elective admissions - CCG'!$D$5:$N$215,6,0)*$H95</f>
        <v>0</v>
      </c>
      <c r="N95" s="384">
        <f>VLOOKUP($A95,'8.Non-elective admissions - CCG'!$D$5:$N$215,7,0)*$H95</f>
        <v>0</v>
      </c>
      <c r="O95" s="384">
        <f>VLOOKUP($A95,'8.Non-elective admissions - CCG'!$D$5:$N$215,8,0)*$H95</f>
        <v>0</v>
      </c>
      <c r="P95" s="384">
        <f>VLOOKUP($A95,'8.Non-elective admissions - CCG'!$D$5:$N$215,9,0)*$H95</f>
        <v>0</v>
      </c>
      <c r="Q95" s="384">
        <f>VLOOKUP($A95,'8.Non-elective admissions - CCG'!$D$5:$N$215,10,0)*$H95</f>
        <v>0</v>
      </c>
      <c r="R95" s="384">
        <f>VLOOKUP($A95,'8.Non-elective admissions - CCG'!$D$5:$Q$215,11,0)*$H95</f>
        <v>0</v>
      </c>
      <c r="S95" s="384">
        <f>VLOOKUP($A95,'8.Non-elective admissions - CCG'!$D$5:$Q$215,12,0)*$H95</f>
        <v>0</v>
      </c>
      <c r="T95" s="384">
        <f>VLOOKUP($A95,'8.Non-elective admissions - CCG'!$D$5:$Q$215,13,0)*$H95</f>
        <v>0</v>
      </c>
      <c r="U95" s="384">
        <f>VLOOKUP($A95,'8.Non-elective admissions - CCG'!$D$5:$Q$215,14,0)*$H95</f>
        <v>0</v>
      </c>
    </row>
    <row r="96" spans="1:21">
      <c r="A96" s="395" t="s">
        <v>92</v>
      </c>
      <c r="B96" s="395" t="s">
        <v>91</v>
      </c>
      <c r="C96" s="395" t="s">
        <v>792</v>
      </c>
      <c r="D96" s="395" t="s">
        <v>492</v>
      </c>
      <c r="E96" s="537">
        <f>COUNTIF($D$5:D96,D96)</f>
        <v>1</v>
      </c>
      <c r="F96" s="537" t="str">
        <f t="shared" si="2"/>
        <v>Westminster1</v>
      </c>
      <c r="G96" s="541" t="str">
        <f t="shared" si="3"/>
        <v>NHS Brent CCG</v>
      </c>
      <c r="H96" s="546">
        <v>1.3321626534413497E-2</v>
      </c>
      <c r="I96" s="546">
        <v>2.030224654254751E-2</v>
      </c>
      <c r="J96" s="384">
        <f>VLOOKUP($A96,'8.Non-elective admissions - CCG'!$D$5:$N$215,3,0)*$H96</f>
        <v>102.17687551895152</v>
      </c>
      <c r="K96" s="384">
        <f>VLOOKUP($A96,'8.Non-elective admissions - CCG'!$D$5:$N$215,4,0)*$H96</f>
        <v>99.086258162967596</v>
      </c>
      <c r="L96" s="384">
        <f>VLOOKUP($A96,'8.Non-elective admissions - CCG'!$D$5:$N$215,5,0)*$H96</f>
        <v>102.76302708646573</v>
      </c>
      <c r="M96" s="384">
        <f>VLOOKUP($A96,'8.Non-elective admissions - CCG'!$D$5:$N$215,6,0)*$H96</f>
        <v>104.10851136644148</v>
      </c>
      <c r="N96" s="384">
        <f>VLOOKUP($A96,'8.Non-elective admissions - CCG'!$D$5:$N$215,7,0)*$H96</f>
        <v>102.08362413321063</v>
      </c>
      <c r="O96" s="384">
        <f>VLOOKUP($A96,'8.Non-elective admissions - CCG'!$D$5:$N$215,8,0)*$H96</f>
        <v>98.620001234263128</v>
      </c>
      <c r="P96" s="384">
        <f>VLOOKUP($A96,'8.Non-elective admissions - CCG'!$D$5:$N$215,9,0)*$H96</f>
        <v>101.69729696371265</v>
      </c>
      <c r="Q96" s="384">
        <f>VLOOKUP($A96,'8.Non-elective admissions - CCG'!$D$5:$N$215,10,0)*$H96</f>
        <v>103.12271100289489</v>
      </c>
      <c r="R96" s="384">
        <f>VLOOKUP($A96,'8.Non-elective admissions - CCG'!$D$5:$Q$215,11,0)*$H96</f>
        <v>98.273638944368372</v>
      </c>
      <c r="S96" s="384">
        <f>VLOOKUP($A96,'8.Non-elective admissions - CCG'!$D$5:$Q$215,12,0)*$H96</f>
        <v>94.636834900473488</v>
      </c>
      <c r="T96" s="384">
        <f>VLOOKUP($A96,'8.Non-elective admissions - CCG'!$D$5:$Q$215,13,0)*$H96</f>
        <v>97.91395502793921</v>
      </c>
      <c r="U96" s="384">
        <f>VLOOKUP($A96,'8.Non-elective admissions - CCG'!$D$5:$Q$215,14,0)*$H96</f>
        <v>99.352690693655859</v>
      </c>
    </row>
    <row r="97" spans="1:21">
      <c r="A97" s="395" t="s">
        <v>96</v>
      </c>
      <c r="B97" s="395" t="s">
        <v>1244</v>
      </c>
      <c r="C97" s="395" t="s">
        <v>664</v>
      </c>
      <c r="D97" s="395" t="s">
        <v>76</v>
      </c>
      <c r="E97" s="537">
        <f>COUNTIF($D$5:D97,D97)</f>
        <v>1</v>
      </c>
      <c r="F97" s="537" t="str">
        <f t="shared" si="2"/>
        <v>Brighton and Hove1</v>
      </c>
      <c r="G97" s="541" t="str">
        <f t="shared" si="3"/>
        <v>NHS Brighton and Hove CCG</v>
      </c>
      <c r="H97" s="546">
        <v>0.97761289371529658</v>
      </c>
      <c r="I97" s="546">
        <v>0.99662039186088835</v>
      </c>
      <c r="J97" s="384">
        <f>VLOOKUP($A97,'8.Non-elective admissions - CCG'!$D$5:$N$215,3,0)*$H97</f>
        <v>6167.7597464498058</v>
      </c>
      <c r="K97" s="384">
        <f>VLOOKUP($A97,'8.Non-elective admissions - CCG'!$D$5:$N$215,4,0)*$H97</f>
        <v>6408.2525183037687</v>
      </c>
      <c r="L97" s="384">
        <f>VLOOKUP($A97,'8.Non-elective admissions - CCG'!$D$5:$N$215,5,0)*$H97</f>
        <v>6446.3794211586655</v>
      </c>
      <c r="M97" s="384">
        <f>VLOOKUP($A97,'8.Non-elective admissions - CCG'!$D$5:$N$215,6,0)*$H97</f>
        <v>6068.0432312908461</v>
      </c>
      <c r="N97" s="384">
        <f>VLOOKUP($A97,'8.Non-elective admissions - CCG'!$D$5:$N$215,7,0)*$H97</f>
        <v>5954.6401356198712</v>
      </c>
      <c r="O97" s="384">
        <f>VLOOKUP($A97,'8.Non-elective admissions - CCG'!$D$5:$N$215,8,0)*$H97</f>
        <v>6066.0880055034149</v>
      </c>
      <c r="P97" s="384">
        <f>VLOOKUP($A97,'8.Non-elective admissions - CCG'!$D$5:$N$215,9,0)*$H97</f>
        <v>6067.0656183971305</v>
      </c>
      <c r="Q97" s="384">
        <f>VLOOKUP($A97,'8.Non-elective admissions - CCG'!$D$5:$N$215,10,0)*$H97</f>
        <v>5691.6622672104568</v>
      </c>
      <c r="R97" s="384">
        <f>VLOOKUP($A97,'8.Non-elective admissions - CCG'!$D$5:$Q$215,11,0)*$H97</f>
        <v>5763.0280084516735</v>
      </c>
      <c r="S97" s="384">
        <f>VLOOKUP($A97,'8.Non-elective admissions - CCG'!$D$5:$Q$215,12,0)*$H97</f>
        <v>5868.6102009729257</v>
      </c>
      <c r="T97" s="384">
        <f>VLOOKUP($A97,'8.Non-elective admissions - CCG'!$D$5:$Q$215,13,0)*$H97</f>
        <v>5869.5878138666403</v>
      </c>
      <c r="U97" s="384">
        <f>VLOOKUP($A97,'8.Non-elective admissions - CCG'!$D$5:$Q$215,14,0)*$H97</f>
        <v>5571.4158812834748</v>
      </c>
    </row>
    <row r="98" spans="1:21">
      <c r="A98" s="395" t="s">
        <v>96</v>
      </c>
      <c r="B98" s="395" t="s">
        <v>1244</v>
      </c>
      <c r="C98" s="395" t="s">
        <v>690</v>
      </c>
      <c r="D98" s="395" t="s">
        <v>173</v>
      </c>
      <c r="E98" s="537">
        <f>COUNTIF($D$5:D98,D98)</f>
        <v>1</v>
      </c>
      <c r="F98" s="537" t="str">
        <f t="shared" si="2"/>
        <v>East Sussex1</v>
      </c>
      <c r="G98" s="541" t="str">
        <f t="shared" si="3"/>
        <v>NHS Brighton and Hove CCG</v>
      </c>
      <c r="H98" s="546">
        <v>1.0033904967814849E-2</v>
      </c>
      <c r="I98" s="546">
        <v>5.5699213337261199E-3</v>
      </c>
      <c r="J98" s="384">
        <f>VLOOKUP($A98,'8.Non-elective admissions - CCG'!$D$5:$N$215,3,0)*$H98</f>
        <v>63.30390644194388</v>
      </c>
      <c r="K98" s="384">
        <f>VLOOKUP($A98,'8.Non-elective admissions - CCG'!$D$5:$N$215,4,0)*$H98</f>
        <v>65.772247064026331</v>
      </c>
      <c r="L98" s="384">
        <f>VLOOKUP($A98,'8.Non-elective admissions - CCG'!$D$5:$N$215,5,0)*$H98</f>
        <v>66.163569357771109</v>
      </c>
      <c r="M98" s="384">
        <f>VLOOKUP($A98,'8.Non-elective admissions - CCG'!$D$5:$N$215,6,0)*$H98</f>
        <v>62.28044813522677</v>
      </c>
      <c r="N98" s="384">
        <f>VLOOKUP($A98,'8.Non-elective admissions - CCG'!$D$5:$N$215,7,0)*$H98</f>
        <v>61.116515158960247</v>
      </c>
      <c r="O98" s="384">
        <f>VLOOKUP($A98,'8.Non-elective admissions - CCG'!$D$5:$N$215,8,0)*$H98</f>
        <v>62.260380325291138</v>
      </c>
      <c r="P98" s="384">
        <f>VLOOKUP($A98,'8.Non-elective admissions - CCG'!$D$5:$N$215,9,0)*$H98</f>
        <v>62.27041423025895</v>
      </c>
      <c r="Q98" s="384">
        <f>VLOOKUP($A98,'8.Non-elective admissions - CCG'!$D$5:$N$215,10,0)*$H98</f>
        <v>58.417394722618049</v>
      </c>
      <c r="R98" s="384">
        <f>VLOOKUP($A98,'8.Non-elective admissions - CCG'!$D$5:$Q$215,11,0)*$H98</f>
        <v>59.149869785268535</v>
      </c>
      <c r="S98" s="384">
        <f>VLOOKUP($A98,'8.Non-elective admissions - CCG'!$D$5:$Q$215,12,0)*$H98</f>
        <v>60.233531521792536</v>
      </c>
      <c r="T98" s="384">
        <f>VLOOKUP($A98,'8.Non-elective admissions - CCG'!$D$5:$Q$215,13,0)*$H98</f>
        <v>60.243565426760355</v>
      </c>
      <c r="U98" s="384">
        <f>VLOOKUP($A98,'8.Non-elective admissions - CCG'!$D$5:$Q$215,14,0)*$H98</f>
        <v>57.183224411576823</v>
      </c>
    </row>
    <row r="99" spans="1:21">
      <c r="A99" s="395" t="s">
        <v>96</v>
      </c>
      <c r="B99" s="395" t="s">
        <v>1244</v>
      </c>
      <c r="C99" s="395" t="s">
        <v>791</v>
      </c>
      <c r="D99" s="395" t="s">
        <v>489</v>
      </c>
      <c r="E99" s="537">
        <f>COUNTIF($D$5:D99,D99)</f>
        <v>1</v>
      </c>
      <c r="F99" s="537" t="str">
        <f t="shared" si="2"/>
        <v>West Sussex1</v>
      </c>
      <c r="G99" s="541" t="str">
        <f t="shared" si="3"/>
        <v>NHS Brighton and Hove CCG</v>
      </c>
      <c r="H99" s="546">
        <v>1.2353201316888605E-2</v>
      </c>
      <c r="I99" s="546">
        <v>4.4044630958318199E-3</v>
      </c>
      <c r="J99" s="384">
        <f>VLOOKUP($A99,'8.Non-elective admissions - CCG'!$D$5:$N$215,3,0)*$H99</f>
        <v>77.936347108250203</v>
      </c>
      <c r="K99" s="384">
        <f>VLOOKUP($A99,'8.Non-elective admissions - CCG'!$D$5:$N$215,4,0)*$H99</f>
        <v>80.975234632204803</v>
      </c>
      <c r="L99" s="384">
        <f>VLOOKUP($A99,'8.Non-elective admissions - CCG'!$D$5:$N$215,5,0)*$H99</f>
        <v>81.457009483563468</v>
      </c>
      <c r="M99" s="384">
        <f>VLOOKUP($A99,'8.Non-elective admissions - CCG'!$D$5:$N$215,6,0)*$H99</f>
        <v>76.676320573927569</v>
      </c>
      <c r="N99" s="384">
        <f>VLOOKUP($A99,'8.Non-elective admissions - CCG'!$D$5:$N$215,7,0)*$H99</f>
        <v>75.243349221168486</v>
      </c>
      <c r="O99" s="384">
        <f>VLOOKUP($A99,'8.Non-elective admissions - CCG'!$D$5:$N$215,8,0)*$H99</f>
        <v>76.651614171293801</v>
      </c>
      <c r="P99" s="384">
        <f>VLOOKUP($A99,'8.Non-elective admissions - CCG'!$D$5:$N$215,9,0)*$H99</f>
        <v>76.663967372610685</v>
      </c>
      <c r="Q99" s="384">
        <f>VLOOKUP($A99,'8.Non-elective admissions - CCG'!$D$5:$N$215,10,0)*$H99</f>
        <v>71.920338066925453</v>
      </c>
      <c r="R99" s="384">
        <f>VLOOKUP($A99,'8.Non-elective admissions - CCG'!$D$5:$Q$215,11,0)*$H99</f>
        <v>72.82212176305832</v>
      </c>
      <c r="S99" s="384">
        <f>VLOOKUP($A99,'8.Non-elective admissions - CCG'!$D$5:$Q$215,12,0)*$H99</f>
        <v>74.156267505282301</v>
      </c>
      <c r="T99" s="384">
        <f>VLOOKUP($A99,'8.Non-elective admissions - CCG'!$D$5:$Q$215,13,0)*$H99</f>
        <v>74.168620706599185</v>
      </c>
      <c r="U99" s="384">
        <f>VLOOKUP($A99,'8.Non-elective admissions - CCG'!$D$5:$Q$215,14,0)*$H99</f>
        <v>70.400894304948167</v>
      </c>
    </row>
    <row r="100" spans="1:21">
      <c r="A100" s="395" t="s">
        <v>100</v>
      </c>
      <c r="B100" s="395" t="s">
        <v>99</v>
      </c>
      <c r="C100" s="395" t="s">
        <v>653</v>
      </c>
      <c r="D100" s="395" t="s">
        <v>29</v>
      </c>
      <c r="E100" s="537">
        <f>COUNTIF($D$5:D100,D100)</f>
        <v>2</v>
      </c>
      <c r="F100" s="537" t="str">
        <f t="shared" si="2"/>
        <v>Bath and North East Somerset2</v>
      </c>
      <c r="G100" s="541" t="str">
        <f t="shared" si="3"/>
        <v>NHS Bristol CCG</v>
      </c>
      <c r="H100" s="546">
        <v>2.9354066443938059E-3</v>
      </c>
      <c r="I100" s="546">
        <v>7.4638974525393477E-3</v>
      </c>
      <c r="J100" s="384">
        <f>VLOOKUP($A100,'8.Non-elective admissions - CCG'!$D$5:$N$215,3,0)*$H100</f>
        <v>27.857009055297219</v>
      </c>
      <c r="K100" s="384">
        <f>VLOOKUP($A100,'8.Non-elective admissions - CCG'!$D$5:$N$215,4,0)*$H100</f>
        <v>28.717083202104604</v>
      </c>
      <c r="L100" s="384">
        <f>VLOOKUP($A100,'8.Non-elective admissions - CCG'!$D$5:$N$215,5,0)*$H100</f>
        <v>29.175006638630038</v>
      </c>
      <c r="M100" s="384">
        <f>VLOOKUP($A100,'8.Non-elective admissions - CCG'!$D$5:$N$215,6,0)*$H100</f>
        <v>28.39125306457689</v>
      </c>
      <c r="N100" s="384">
        <f>VLOOKUP($A100,'8.Non-elective admissions - CCG'!$D$5:$N$215,7,0)*$H100</f>
        <v>28.009669153792938</v>
      </c>
      <c r="O100" s="384">
        <f>VLOOKUP($A100,'8.Non-elective admissions - CCG'!$D$5:$N$215,8,0)*$H100</f>
        <v>29.83515647947716</v>
      </c>
      <c r="P100" s="384">
        <f>VLOOKUP($A100,'8.Non-elective admissions - CCG'!$D$5:$N$215,9,0)*$H100</f>
        <v>29.383921609611143</v>
      </c>
      <c r="Q100" s="384">
        <f>VLOOKUP($A100,'8.Non-elective admissions - CCG'!$D$5:$N$215,10,0)*$H100</f>
        <v>29.380986203257354</v>
      </c>
      <c r="R100" s="384">
        <f>VLOOKUP($A100,'8.Non-elective admissions - CCG'!$D$5:$Q$215,11,0)*$H100</f>
        <v>29.010237713562148</v>
      </c>
      <c r="S100" s="384">
        <f>VLOOKUP($A100,'8.Non-elective admissions - CCG'!$D$5:$Q$215,12,0)*$H100</f>
        <v>29.909836051495002</v>
      </c>
      <c r="T100" s="384">
        <f>VLOOKUP($A100,'8.Non-elective admissions - CCG'!$D$5:$Q$215,13,0)*$H100</f>
        <v>29.010237713943749</v>
      </c>
      <c r="U100" s="384">
        <f>VLOOKUP($A100,'8.Non-elective admissions - CCG'!$D$5:$Q$215,14,0)*$H100</f>
        <v>28.10770396966004</v>
      </c>
    </row>
    <row r="101" spans="1:21">
      <c r="A101" s="395" t="s">
        <v>100</v>
      </c>
      <c r="B101" s="395" t="s">
        <v>99</v>
      </c>
      <c r="C101" s="395" t="s">
        <v>665</v>
      </c>
      <c r="D101" s="395" t="s">
        <v>79</v>
      </c>
      <c r="E101" s="537">
        <f>COUNTIF($D$5:D101,D101)</f>
        <v>1</v>
      </c>
      <c r="F101" s="537" t="str">
        <f t="shared" si="2"/>
        <v>Bristol, City of1</v>
      </c>
      <c r="G101" s="541" t="str">
        <f t="shared" si="3"/>
        <v>NHS Bristol CCG</v>
      </c>
      <c r="H101" s="546">
        <v>0.94847805546806963</v>
      </c>
      <c r="I101" s="546">
        <v>0.97824466944508737</v>
      </c>
      <c r="J101" s="384">
        <f>VLOOKUP($A101,'8.Non-elective admissions - CCG'!$D$5:$N$215,3,0)*$H101</f>
        <v>9001.0567463919815</v>
      </c>
      <c r="K101" s="384">
        <f>VLOOKUP($A101,'8.Non-elective admissions - CCG'!$D$5:$N$215,4,0)*$H101</f>
        <v>9278.9608166441249</v>
      </c>
      <c r="L101" s="384">
        <f>VLOOKUP($A101,'8.Non-elective admissions - CCG'!$D$5:$N$215,5,0)*$H101</f>
        <v>9426.9233932971438</v>
      </c>
      <c r="M101" s="384">
        <f>VLOOKUP($A101,'8.Non-elective admissions - CCG'!$D$5:$N$215,6,0)*$H101</f>
        <v>9173.679752487169</v>
      </c>
      <c r="N101" s="384">
        <f>VLOOKUP($A101,'8.Non-elective admissions - CCG'!$D$5:$N$215,7,0)*$H101</f>
        <v>9050.3837292975095</v>
      </c>
      <c r="O101" s="384">
        <f>VLOOKUP($A101,'8.Non-elective admissions - CCG'!$D$5:$N$215,8,0)*$H101</f>
        <v>9640.2286396281979</v>
      </c>
      <c r="P101" s="384">
        <f>VLOOKUP($A101,'8.Non-elective admissions - CCG'!$D$5:$N$215,9,0)*$H101</f>
        <v>9494.4272486191203</v>
      </c>
      <c r="Q101" s="384">
        <f>VLOOKUP($A101,'8.Non-elective admissions - CCG'!$D$5:$N$215,10,0)*$H101</f>
        <v>9493.4787706575516</v>
      </c>
      <c r="R101" s="384">
        <f>VLOOKUP($A101,'8.Non-elective admissions - CCG'!$D$5:$Q$215,11,0)*$H101</f>
        <v>9373.6838498259094</v>
      </c>
      <c r="S101" s="384">
        <f>VLOOKUP($A101,'8.Non-elective admissions - CCG'!$D$5:$Q$215,12,0)*$H101</f>
        <v>9664.3588348043759</v>
      </c>
      <c r="T101" s="384">
        <f>VLOOKUP($A101,'8.Non-elective admissions - CCG'!$D$5:$Q$215,13,0)*$H101</f>
        <v>9373.6838499492114</v>
      </c>
      <c r="U101" s="384">
        <f>VLOOKUP($A101,'8.Non-elective admissions - CCG'!$D$5:$Q$215,14,0)*$H101</f>
        <v>9082.060387010124</v>
      </c>
    </row>
    <row r="102" spans="1:21">
      <c r="A102" s="395" t="s">
        <v>100</v>
      </c>
      <c r="B102" s="395" t="s">
        <v>99</v>
      </c>
      <c r="C102" s="395" t="s">
        <v>736</v>
      </c>
      <c r="D102" s="395" t="s">
        <v>324</v>
      </c>
      <c r="E102" s="537">
        <f>COUNTIF($D$5:D102,D102)</f>
        <v>2</v>
      </c>
      <c r="F102" s="537" t="str">
        <f t="shared" si="2"/>
        <v>North Somerset2</v>
      </c>
      <c r="G102" s="541" t="str">
        <f t="shared" si="3"/>
        <v>NHS Bristol CCG</v>
      </c>
      <c r="H102" s="546">
        <v>2.496948288674394E-3</v>
      </c>
      <c r="I102" s="546">
        <v>5.599434978696298E-3</v>
      </c>
      <c r="J102" s="384">
        <f>VLOOKUP($A102,'8.Non-elective admissions - CCG'!$D$5:$N$215,3,0)*$H102</f>
        <v>23.696039259519999</v>
      </c>
      <c r="K102" s="384">
        <f>VLOOKUP($A102,'8.Non-elective admissions - CCG'!$D$5:$N$215,4,0)*$H102</f>
        <v>24.427645108101597</v>
      </c>
      <c r="L102" s="384">
        <f>VLOOKUP($A102,'8.Non-elective admissions - CCG'!$D$5:$N$215,5,0)*$H102</f>
        <v>24.8171690411348</v>
      </c>
      <c r="M102" s="384">
        <f>VLOOKUP($A102,'8.Non-elective admissions - CCG'!$D$5:$N$215,6,0)*$H102</f>
        <v>24.150483848058737</v>
      </c>
      <c r="N102" s="384">
        <f>VLOOKUP($A102,'8.Non-elective admissions - CCG'!$D$5:$N$215,7,0)*$H102</f>
        <v>23.825896692532137</v>
      </c>
      <c r="O102" s="384">
        <f>VLOOKUP($A102,'8.Non-elective admissions - CCG'!$D$5:$N$215,8,0)*$H102</f>
        <v>25.378713050214436</v>
      </c>
      <c r="P102" s="384">
        <f>VLOOKUP($A102,'8.Non-elective admissions - CCG'!$D$5:$N$215,9,0)*$H102</f>
        <v>24.994878620237245</v>
      </c>
      <c r="Q102" s="384">
        <f>VLOOKUP($A102,'8.Non-elective admissions - CCG'!$D$5:$N$215,10,0)*$H102</f>
        <v>24.992381672195769</v>
      </c>
      <c r="R102" s="384">
        <f>VLOOKUP($A102,'8.Non-elective admissions - CCG'!$D$5:$Q$215,11,0)*$H102</f>
        <v>24.677011463219408</v>
      </c>
      <c r="S102" s="384">
        <f>VLOOKUP($A102,'8.Non-elective admissions - CCG'!$D$5:$Q$215,12,0)*$H102</f>
        <v>25.44223781939932</v>
      </c>
      <c r="T102" s="384">
        <f>VLOOKUP($A102,'8.Non-elective admissions - CCG'!$D$5:$Q$215,13,0)*$H102</f>
        <v>24.677011463544012</v>
      </c>
      <c r="U102" s="384">
        <f>VLOOKUP($A102,'8.Non-elective admissions - CCG'!$D$5:$Q$215,14,0)*$H102</f>
        <v>23.909288159325119</v>
      </c>
    </row>
    <row r="103" spans="1:21">
      <c r="A103" s="395" t="s">
        <v>100</v>
      </c>
      <c r="B103" s="395" t="s">
        <v>99</v>
      </c>
      <c r="C103" s="395" t="s">
        <v>763</v>
      </c>
      <c r="D103" s="395" t="s">
        <v>405</v>
      </c>
      <c r="E103" s="537">
        <f>COUNTIF($D$5:D103,D103)</f>
        <v>2</v>
      </c>
      <c r="F103" s="537" t="str">
        <f t="shared" si="2"/>
        <v>South Gloucestershire2</v>
      </c>
      <c r="G103" s="541" t="str">
        <f t="shared" si="3"/>
        <v>NHS Bristol CCG</v>
      </c>
      <c r="H103" s="546">
        <v>4.6089589598862064E-2</v>
      </c>
      <c r="I103" s="546">
        <v>8.0726575231832007E-2</v>
      </c>
      <c r="J103" s="384">
        <f>VLOOKUP($A103,'8.Non-elective admissions - CCG'!$D$5:$N$215,3,0)*$H103</f>
        <v>437.39020529320101</v>
      </c>
      <c r="K103" s="384">
        <f>VLOOKUP($A103,'8.Non-elective admissions - CCG'!$D$5:$N$215,4,0)*$H103</f>
        <v>450.8944550456676</v>
      </c>
      <c r="L103" s="384">
        <f>VLOOKUP($A103,'8.Non-elective admissions - CCG'!$D$5:$N$215,5,0)*$H103</f>
        <v>458.08443102309008</v>
      </c>
      <c r="M103" s="384">
        <f>VLOOKUP($A103,'8.Non-elective admissions - CCG'!$D$5:$N$215,6,0)*$H103</f>
        <v>445.7785106001939</v>
      </c>
      <c r="N103" s="384">
        <f>VLOOKUP($A103,'8.Non-elective admissions - CCG'!$D$5:$N$215,7,0)*$H103</f>
        <v>439.78716153816538</v>
      </c>
      <c r="O103" s="384">
        <f>VLOOKUP($A103,'8.Non-elective admissions - CCG'!$D$5:$N$215,8,0)*$H103</f>
        <v>468.44961681310906</v>
      </c>
      <c r="P103" s="384">
        <f>VLOOKUP($A103,'8.Non-elective admissions - CCG'!$D$5:$N$215,9,0)*$H103</f>
        <v>461.36465977503042</v>
      </c>
      <c r="Q103" s="384">
        <f>VLOOKUP($A103,'8.Non-elective admissions - CCG'!$D$5:$N$215,10,0)*$H103</f>
        <v>461.31857018999443</v>
      </c>
      <c r="R103" s="384">
        <f>VLOOKUP($A103,'8.Non-elective admissions - CCG'!$D$5:$Q$215,11,0)*$H103</f>
        <v>455.49735091630879</v>
      </c>
      <c r="S103" s="384">
        <f>VLOOKUP($A103,'8.Non-elective admissions - CCG'!$D$5:$Q$215,12,0)*$H103</f>
        <v>469.62218035972865</v>
      </c>
      <c r="T103" s="384">
        <f>VLOOKUP($A103,'8.Non-elective admissions - CCG'!$D$5:$Q$215,13,0)*$H103</f>
        <v>455.49735092230043</v>
      </c>
      <c r="U103" s="384">
        <f>VLOOKUP($A103,'8.Non-elective admissions - CCG'!$D$5:$Q$215,14,0)*$H103</f>
        <v>441.32643189389074</v>
      </c>
    </row>
    <row r="104" spans="1:21">
      <c r="A104" s="395" t="s">
        <v>104</v>
      </c>
      <c r="B104" s="395" t="s">
        <v>103</v>
      </c>
      <c r="C104" s="395" t="s">
        <v>666</v>
      </c>
      <c r="D104" s="395" t="s">
        <v>83</v>
      </c>
      <c r="E104" s="537">
        <f>COUNTIF($D$5:D104,D104)</f>
        <v>2</v>
      </c>
      <c r="F104" s="537" t="str">
        <f t="shared" si="2"/>
        <v>Bromley2</v>
      </c>
      <c r="G104" s="541" t="str">
        <f t="shared" si="3"/>
        <v>NHS Bromley CCG</v>
      </c>
      <c r="H104" s="546">
        <v>0.94790053544211406</v>
      </c>
      <c r="I104" s="546">
        <v>0.9551768395716822</v>
      </c>
      <c r="J104" s="384">
        <f>VLOOKUP($A104,'8.Non-elective admissions - CCG'!$D$5:$N$215,3,0)*$H104</f>
        <v>5905.4203358043706</v>
      </c>
      <c r="K104" s="384">
        <f>VLOOKUP($A104,'8.Non-elective admissions - CCG'!$D$5:$N$215,4,0)*$H104</f>
        <v>5723.4234329994842</v>
      </c>
      <c r="L104" s="384">
        <f>VLOOKUP($A104,'8.Non-elective admissions - CCG'!$D$5:$N$215,5,0)*$H104</f>
        <v>5493.0836028870508</v>
      </c>
      <c r="M104" s="384">
        <f>VLOOKUP($A104,'8.Non-elective admissions - CCG'!$D$5:$N$215,6,0)*$H104</f>
        <v>5588.8215569667045</v>
      </c>
      <c r="N104" s="384">
        <f>VLOOKUP($A104,'8.Non-elective admissions - CCG'!$D$5:$N$215,7,0)*$H104</f>
        <v>5670.3410030147261</v>
      </c>
      <c r="O104" s="384">
        <f>VLOOKUP($A104,'8.Non-elective admissions - CCG'!$D$5:$N$215,8,0)*$H104</f>
        <v>5497.8231055642618</v>
      </c>
      <c r="P104" s="384">
        <f>VLOOKUP($A104,'8.Non-elective admissions - CCG'!$D$5:$N$215,9,0)*$H104</f>
        <v>5367.9607322086922</v>
      </c>
      <c r="Q104" s="384">
        <f>VLOOKUP($A104,'8.Non-elective admissions - CCG'!$D$5:$N$215,10,0)*$H104</f>
        <v>5296.8681920505333</v>
      </c>
      <c r="R104" s="384">
        <f>VLOOKUP($A104,'8.Non-elective admissions - CCG'!$D$5:$Q$215,11,0)*$H104</f>
        <v>5678.8721078337057</v>
      </c>
      <c r="S104" s="384">
        <f>VLOOKUP($A104,'8.Non-elective admissions - CCG'!$D$5:$Q$215,12,0)*$H104</f>
        <v>5504.4584093123567</v>
      </c>
      <c r="T104" s="384">
        <f>VLOOKUP($A104,'8.Non-elective admissions - CCG'!$D$5:$Q$215,13,0)*$H104</f>
        <v>5375.5439364922286</v>
      </c>
      <c r="U104" s="384">
        <f>VLOOKUP($A104,'8.Non-elective admissions - CCG'!$D$5:$Q$215,14,0)*$H104</f>
        <v>5304.4513963340705</v>
      </c>
    </row>
    <row r="105" spans="1:21">
      <c r="A105" s="395" t="s">
        <v>104</v>
      </c>
      <c r="B105" s="395" t="s">
        <v>103</v>
      </c>
      <c r="C105" s="395" t="s">
        <v>679</v>
      </c>
      <c r="D105" s="395" t="s">
        <v>132</v>
      </c>
      <c r="E105" s="537">
        <f>COUNTIF($D$5:D105,D105)</f>
        <v>1</v>
      </c>
      <c r="F105" s="537" t="str">
        <f t="shared" si="2"/>
        <v>Croydon1</v>
      </c>
      <c r="G105" s="541" t="str">
        <f t="shared" si="3"/>
        <v>NHS Bromley CCG</v>
      </c>
      <c r="H105" s="546">
        <v>1.5070572675652811E-2</v>
      </c>
      <c r="I105" s="546">
        <v>1.2441656096890595E-2</v>
      </c>
      <c r="J105" s="384">
        <f>VLOOKUP($A105,'8.Non-elective admissions - CCG'!$D$5:$N$215,3,0)*$H105</f>
        <v>93.889667769317015</v>
      </c>
      <c r="K105" s="384">
        <f>VLOOKUP($A105,'8.Non-elective admissions - CCG'!$D$5:$N$215,4,0)*$H105</f>
        <v>90.996117815591674</v>
      </c>
      <c r="L105" s="384">
        <f>VLOOKUP($A105,'8.Non-elective admissions - CCG'!$D$5:$N$215,5,0)*$H105</f>
        <v>87.333968655408043</v>
      </c>
      <c r="M105" s="384">
        <f>VLOOKUP($A105,'8.Non-elective admissions - CCG'!$D$5:$N$215,6,0)*$H105</f>
        <v>88.85609649564897</v>
      </c>
      <c r="N105" s="384">
        <f>VLOOKUP($A105,'8.Non-elective admissions - CCG'!$D$5:$N$215,7,0)*$H105</f>
        <v>90.152165745755113</v>
      </c>
      <c r="O105" s="384">
        <f>VLOOKUP($A105,'8.Non-elective admissions - CCG'!$D$5:$N$215,8,0)*$H105</f>
        <v>87.4093215187863</v>
      </c>
      <c r="P105" s="384">
        <f>VLOOKUP($A105,'8.Non-elective admissions - CCG'!$D$5:$N$215,9,0)*$H105</f>
        <v>85.344653062221866</v>
      </c>
      <c r="Q105" s="384">
        <f>VLOOKUP($A105,'8.Non-elective admissions - CCG'!$D$5:$N$215,10,0)*$H105</f>
        <v>84.214360111547904</v>
      </c>
      <c r="R105" s="384">
        <f>VLOOKUP($A105,'8.Non-elective admissions - CCG'!$D$5:$Q$215,11,0)*$H105</f>
        <v>90.287800899835986</v>
      </c>
      <c r="S105" s="384">
        <f>VLOOKUP($A105,'8.Non-elective admissions - CCG'!$D$5:$Q$215,12,0)*$H105</f>
        <v>87.514815527515864</v>
      </c>
      <c r="T105" s="384">
        <f>VLOOKUP($A105,'8.Non-elective admissions - CCG'!$D$5:$Q$215,13,0)*$H105</f>
        <v>85.465217643627085</v>
      </c>
      <c r="U105" s="384">
        <f>VLOOKUP($A105,'8.Non-elective admissions - CCG'!$D$5:$Q$215,14,0)*$H105</f>
        <v>84.334924692953123</v>
      </c>
    </row>
    <row r="106" spans="1:21">
      <c r="A106" s="395" t="s">
        <v>104</v>
      </c>
      <c r="B106" s="395" t="s">
        <v>103</v>
      </c>
      <c r="C106" s="395" t="s">
        <v>695</v>
      </c>
      <c r="D106" s="395" t="s">
        <v>192</v>
      </c>
      <c r="E106" s="537">
        <f>COUNTIF($D$5:D106,D106)</f>
        <v>2</v>
      </c>
      <c r="F106" s="537" t="str">
        <f t="shared" si="2"/>
        <v>Greenwich2</v>
      </c>
      <c r="G106" s="541" t="str">
        <f t="shared" si="3"/>
        <v>NHS Bromley CCG</v>
      </c>
      <c r="H106" s="546">
        <v>1.0760767640114481E-2</v>
      </c>
      <c r="I106" s="546">
        <v>1.3908299184372804E-2</v>
      </c>
      <c r="J106" s="384">
        <f>VLOOKUP($A106,'8.Non-elective admissions - CCG'!$D$5:$N$215,3,0)*$H106</f>
        <v>67.039582397913222</v>
      </c>
      <c r="K106" s="384">
        <f>VLOOKUP($A106,'8.Non-elective admissions - CCG'!$D$5:$N$215,4,0)*$H106</f>
        <v>64.973515011011244</v>
      </c>
      <c r="L106" s="384">
        <f>VLOOKUP($A106,'8.Non-elective admissions - CCG'!$D$5:$N$215,5,0)*$H106</f>
        <v>62.358648474463422</v>
      </c>
      <c r="M106" s="384">
        <f>VLOOKUP($A106,'8.Non-elective admissions - CCG'!$D$5:$N$215,6,0)*$H106</f>
        <v>63.445486006114983</v>
      </c>
      <c r="N106" s="384">
        <f>VLOOKUP($A106,'8.Non-elective admissions - CCG'!$D$5:$N$215,7,0)*$H106</f>
        <v>64.370912023164834</v>
      </c>
      <c r="O106" s="384">
        <f>VLOOKUP($A106,'8.Non-elective admissions - CCG'!$D$5:$N$215,8,0)*$H106</f>
        <v>62.412452312663994</v>
      </c>
      <c r="P106" s="384">
        <f>VLOOKUP($A106,'8.Non-elective admissions - CCG'!$D$5:$N$215,9,0)*$H106</f>
        <v>60.938227145968305</v>
      </c>
      <c r="Q106" s="384">
        <f>VLOOKUP($A106,'8.Non-elective admissions - CCG'!$D$5:$N$215,10,0)*$H106</f>
        <v>60.13116957295972</v>
      </c>
      <c r="R106" s="384">
        <f>VLOOKUP($A106,'8.Non-elective admissions - CCG'!$D$5:$Q$215,11,0)*$H106</f>
        <v>64.467758931925857</v>
      </c>
      <c r="S106" s="384">
        <f>VLOOKUP($A106,'8.Non-elective admissions - CCG'!$D$5:$Q$215,12,0)*$H106</f>
        <v>62.487777686144796</v>
      </c>
      <c r="T106" s="384">
        <f>VLOOKUP($A106,'8.Non-elective admissions - CCG'!$D$5:$Q$215,13,0)*$H106</f>
        <v>61.024313287089221</v>
      </c>
      <c r="U106" s="384">
        <f>VLOOKUP($A106,'8.Non-elective admissions - CCG'!$D$5:$Q$215,14,0)*$H106</f>
        <v>60.217255714080636</v>
      </c>
    </row>
    <row r="107" spans="1:21">
      <c r="A107" s="395" t="s">
        <v>104</v>
      </c>
      <c r="B107" s="395" t="s">
        <v>103</v>
      </c>
      <c r="C107" s="395" t="s">
        <v>712</v>
      </c>
      <c r="D107" s="395" t="s">
        <v>252</v>
      </c>
      <c r="E107" s="537">
        <f>COUNTIF($D$5:D107,D107)</f>
        <v>3</v>
      </c>
      <c r="F107" s="537" t="str">
        <f t="shared" si="2"/>
        <v>Kent3</v>
      </c>
      <c r="G107" s="541" t="str">
        <f t="shared" si="3"/>
        <v>NHS Bromley CCG</v>
      </c>
      <c r="H107" s="546">
        <v>8.5340859456372008E-3</v>
      </c>
      <c r="I107" s="546">
        <v>1.821385569854439E-3</v>
      </c>
      <c r="J107" s="384">
        <f>VLOOKUP($A107,'8.Non-elective admissions - CCG'!$D$5:$N$215,3,0)*$H107</f>
        <v>53.167355441319764</v>
      </c>
      <c r="K107" s="384">
        <f>VLOOKUP($A107,'8.Non-elective admissions - CCG'!$D$5:$N$215,4,0)*$H107</f>
        <v>51.52881093975742</v>
      </c>
      <c r="L107" s="384">
        <f>VLOOKUP($A107,'8.Non-elective admissions - CCG'!$D$5:$N$215,5,0)*$H107</f>
        <v>49.455028054967578</v>
      </c>
      <c r="M107" s="384">
        <f>VLOOKUP($A107,'8.Non-elective admissions - CCG'!$D$5:$N$215,6,0)*$H107</f>
        <v>50.316970735476936</v>
      </c>
      <c r="N107" s="384">
        <f>VLOOKUP($A107,'8.Non-elective admissions - CCG'!$D$5:$N$215,7,0)*$H107</f>
        <v>51.050902126801738</v>
      </c>
      <c r="O107" s="384">
        <f>VLOOKUP($A107,'8.Non-elective admissions - CCG'!$D$5:$N$215,8,0)*$H107</f>
        <v>49.497698484695768</v>
      </c>
      <c r="P107" s="384">
        <f>VLOOKUP($A107,'8.Non-elective admissions - CCG'!$D$5:$N$215,9,0)*$H107</f>
        <v>48.328528710143466</v>
      </c>
      <c r="Q107" s="384">
        <f>VLOOKUP($A107,'8.Non-elective admissions - CCG'!$D$5:$N$215,10,0)*$H107</f>
        <v>47.688472264220678</v>
      </c>
      <c r="R107" s="384">
        <f>VLOOKUP($A107,'8.Non-elective admissions - CCG'!$D$5:$Q$215,11,0)*$H107</f>
        <v>51.12770890031247</v>
      </c>
      <c r="S107" s="384">
        <f>VLOOKUP($A107,'8.Non-elective admissions - CCG'!$D$5:$Q$215,12,0)*$H107</f>
        <v>49.557437086315225</v>
      </c>
      <c r="T107" s="384">
        <f>VLOOKUP($A107,'8.Non-elective admissions - CCG'!$D$5:$Q$215,13,0)*$H107</f>
        <v>48.396801397708565</v>
      </c>
      <c r="U107" s="384">
        <f>VLOOKUP($A107,'8.Non-elective admissions - CCG'!$D$5:$Q$215,14,0)*$H107</f>
        <v>47.756744951785777</v>
      </c>
    </row>
    <row r="108" spans="1:21">
      <c r="A108" s="395" t="s">
        <v>104</v>
      </c>
      <c r="B108" s="395" t="s">
        <v>103</v>
      </c>
      <c r="C108" s="395" t="s">
        <v>722</v>
      </c>
      <c r="D108" s="395" t="s">
        <v>282</v>
      </c>
      <c r="E108" s="537">
        <f>COUNTIF($D$5:D108,D108)</f>
        <v>1</v>
      </c>
      <c r="F108" s="537" t="str">
        <f t="shared" si="2"/>
        <v>Lewisham1</v>
      </c>
      <c r="G108" s="541" t="str">
        <f t="shared" si="3"/>
        <v>NHS Bromley CCG</v>
      </c>
      <c r="H108" s="546">
        <v>1.376022089659828E-2</v>
      </c>
      <c r="I108" s="546">
        <v>1.4840607591934354E-2</v>
      </c>
      <c r="J108" s="384">
        <f>VLOOKUP($A108,'8.Non-elective admissions - CCG'!$D$5:$N$215,3,0)*$H108</f>
        <v>85.72617618580729</v>
      </c>
      <c r="K108" s="384">
        <f>VLOOKUP($A108,'8.Non-elective admissions - CCG'!$D$5:$N$215,4,0)*$H108</f>
        <v>83.084213773660409</v>
      </c>
      <c r="L108" s="384">
        <f>VLOOKUP($A108,'8.Non-elective admissions - CCG'!$D$5:$N$215,5,0)*$H108</f>
        <v>79.740480095787035</v>
      </c>
      <c r="M108" s="384">
        <f>VLOOKUP($A108,'8.Non-elective admissions - CCG'!$D$5:$N$215,6,0)*$H108</f>
        <v>81.130262406343462</v>
      </c>
      <c r="N108" s="384">
        <f>VLOOKUP($A108,'8.Non-elective admissions - CCG'!$D$5:$N$215,7,0)*$H108</f>
        <v>82.313641403450916</v>
      </c>
      <c r="O108" s="384">
        <f>VLOOKUP($A108,'8.Non-elective admissions - CCG'!$D$5:$N$215,8,0)*$H108</f>
        <v>79.809281200270021</v>
      </c>
      <c r="P108" s="384">
        <f>VLOOKUP($A108,'8.Non-elective admissions - CCG'!$D$5:$N$215,9,0)*$H108</f>
        <v>77.924130937436061</v>
      </c>
      <c r="Q108" s="384">
        <f>VLOOKUP($A108,'8.Non-elective admissions - CCG'!$D$5:$N$215,10,0)*$H108</f>
        <v>76.892114370191194</v>
      </c>
      <c r="R108" s="384">
        <f>VLOOKUP($A108,'8.Non-elective admissions - CCG'!$D$5:$Q$215,11,0)*$H108</f>
        <v>82.437483391520303</v>
      </c>
      <c r="S108" s="384">
        <f>VLOOKUP($A108,'8.Non-elective admissions - CCG'!$D$5:$Q$215,12,0)*$H108</f>
        <v>79.905602746546208</v>
      </c>
      <c r="T108" s="384">
        <f>VLOOKUP($A108,'8.Non-elective admissions - CCG'!$D$5:$Q$215,13,0)*$H108</f>
        <v>78.034212704608848</v>
      </c>
      <c r="U108" s="384">
        <f>VLOOKUP($A108,'8.Non-elective admissions - CCG'!$D$5:$Q$215,14,0)*$H108</f>
        <v>77.002196137363981</v>
      </c>
    </row>
    <row r="109" spans="1:21">
      <c r="A109" s="395" t="s">
        <v>104</v>
      </c>
      <c r="B109" s="395" t="s">
        <v>103</v>
      </c>
      <c r="C109" s="395" t="s">
        <v>775</v>
      </c>
      <c r="D109" s="395" t="s">
        <v>441</v>
      </c>
      <c r="E109" s="537">
        <f>COUNTIF($D$5:D109,D109)</f>
        <v>2</v>
      </c>
      <c r="F109" s="537" t="str">
        <f t="shared" si="2"/>
        <v>Surrey2</v>
      </c>
      <c r="G109" s="541" t="str">
        <f t="shared" si="3"/>
        <v>NHS Bromley CCG</v>
      </c>
      <c r="H109" s="546">
        <v>3.9738173998833219E-3</v>
      </c>
      <c r="I109" s="546">
        <v>1.0728392720195932E-3</v>
      </c>
      <c r="J109" s="384">
        <f>VLOOKUP($A109,'8.Non-elective admissions - CCG'!$D$5:$N$215,3,0)*$H109</f>
        <v>24.756882401273096</v>
      </c>
      <c r="K109" s="384">
        <f>VLOOKUP($A109,'8.Non-elective admissions - CCG'!$D$5:$N$215,4,0)*$H109</f>
        <v>23.993909460495498</v>
      </c>
      <c r="L109" s="384">
        <f>VLOOKUP($A109,'8.Non-elective admissions - CCG'!$D$5:$N$215,5,0)*$H109</f>
        <v>23.028271832323849</v>
      </c>
      <c r="M109" s="384">
        <f>VLOOKUP($A109,'8.Non-elective admissions - CCG'!$D$5:$N$215,6,0)*$H109</f>
        <v>23.429627389712067</v>
      </c>
      <c r="N109" s="384">
        <f>VLOOKUP($A109,'8.Non-elective admissions - CCG'!$D$5:$N$215,7,0)*$H109</f>
        <v>23.771375686102033</v>
      </c>
      <c r="O109" s="384">
        <f>VLOOKUP($A109,'8.Non-elective admissions - CCG'!$D$5:$N$215,8,0)*$H109</f>
        <v>23.048140919323266</v>
      </c>
      <c r="P109" s="384">
        <f>VLOOKUP($A109,'8.Non-elective admissions - CCG'!$D$5:$N$215,9,0)*$H109</f>
        <v>22.503727935539253</v>
      </c>
      <c r="Q109" s="384">
        <f>VLOOKUP($A109,'8.Non-elective admissions - CCG'!$D$5:$N$215,10,0)*$H109</f>
        <v>22.205691630548003</v>
      </c>
      <c r="R109" s="384">
        <f>VLOOKUP($A109,'8.Non-elective admissions - CCG'!$D$5:$Q$215,11,0)*$H109</f>
        <v>23.807140042700983</v>
      </c>
      <c r="S109" s="384">
        <f>VLOOKUP($A109,'8.Non-elective admissions - CCG'!$D$5:$Q$215,12,0)*$H109</f>
        <v>23.07595764112245</v>
      </c>
      <c r="T109" s="384">
        <f>VLOOKUP($A109,'8.Non-elective admissions - CCG'!$D$5:$Q$215,13,0)*$H109</f>
        <v>22.535518474738318</v>
      </c>
      <c r="U109" s="384">
        <f>VLOOKUP($A109,'8.Non-elective admissions - CCG'!$D$5:$Q$215,14,0)*$H109</f>
        <v>22.237482169747068</v>
      </c>
    </row>
    <row r="110" spans="1:21">
      <c r="A110" s="395" t="s">
        <v>108</v>
      </c>
      <c r="B110" s="395" t="s">
        <v>107</v>
      </c>
      <c r="C110" s="395" t="s">
        <v>657</v>
      </c>
      <c r="D110" s="395" t="s">
        <v>48</v>
      </c>
      <c r="E110" s="537">
        <f>COUNTIF($D$5:D110,D110)</f>
        <v>3</v>
      </c>
      <c r="F110" s="537" t="str">
        <f t="shared" si="2"/>
        <v>Blackburn with Darwen3</v>
      </c>
      <c r="G110" s="541" t="str">
        <f t="shared" si="3"/>
        <v>NHS Bury CCG</v>
      </c>
      <c r="H110" s="546">
        <v>1.8144864952534452E-3</v>
      </c>
      <c r="I110" s="546">
        <v>2.2688814667875049E-3</v>
      </c>
      <c r="J110" s="384">
        <f>VLOOKUP($A110,'8.Non-elective admissions - CCG'!$D$5:$N$215,3,0)*$H110</f>
        <v>9.1286815576200819</v>
      </c>
      <c r="K110" s="384">
        <f>VLOOKUP($A110,'8.Non-elective admissions - CCG'!$D$5:$N$215,4,0)*$H110</f>
        <v>8.7966305289887021</v>
      </c>
      <c r="L110" s="384">
        <f>VLOOKUP($A110,'8.Non-elective admissions - CCG'!$D$5:$N$215,5,0)*$H110</f>
        <v>9.0052964759428491</v>
      </c>
      <c r="M110" s="384">
        <f>VLOOKUP($A110,'8.Non-elective admissions - CCG'!$D$5:$N$215,6,0)*$H110</f>
        <v>8.7712277180551546</v>
      </c>
      <c r="N110" s="384">
        <f>VLOOKUP($A110,'8.Non-elective admissions - CCG'!$D$5:$N$215,7,0)*$H110</f>
        <v>8.9925950704760744</v>
      </c>
      <c r="O110" s="384">
        <f>VLOOKUP($A110,'8.Non-elective admissions - CCG'!$D$5:$N$215,8,0)*$H110</f>
        <v>8.7040917177307762</v>
      </c>
      <c r="P110" s="384">
        <f>VLOOKUP($A110,'8.Non-elective admissions - CCG'!$D$5:$N$215,9,0)*$H110</f>
        <v>8.8510651238463058</v>
      </c>
      <c r="Q110" s="384">
        <f>VLOOKUP($A110,'8.Non-elective admissions - CCG'!$D$5:$N$215,10,0)*$H110</f>
        <v>9.0887628547245072</v>
      </c>
      <c r="R110" s="384">
        <f>VLOOKUP($A110,'8.Non-elective admissions - CCG'!$D$5:$Q$215,11,0)*$H110</f>
        <v>7.73152695627493</v>
      </c>
      <c r="S110" s="384">
        <f>VLOOKUP($A110,'8.Non-elective admissions - CCG'!$D$5:$Q$215,12,0)*$H110</f>
        <v>7.4793133334347006</v>
      </c>
      <c r="T110" s="384">
        <f>VLOOKUP($A110,'8.Non-elective admissions - CCG'!$D$5:$Q$215,13,0)*$H110</f>
        <v>7.588182523149908</v>
      </c>
      <c r="U110" s="384">
        <f>VLOOKUP($A110,'8.Non-elective admissions - CCG'!$D$5:$Q$215,14,0)*$H110</f>
        <v>7.8476540919711502</v>
      </c>
    </row>
    <row r="111" spans="1:21">
      <c r="A111" s="395" t="s">
        <v>108</v>
      </c>
      <c r="B111" s="395" t="s">
        <v>107</v>
      </c>
      <c r="C111" s="395" t="s">
        <v>659</v>
      </c>
      <c r="D111" s="395" t="s">
        <v>56</v>
      </c>
      <c r="E111" s="537">
        <f>COUNTIF($D$5:D111,D111)</f>
        <v>2</v>
      </c>
      <c r="F111" s="537" t="str">
        <f t="shared" si="2"/>
        <v>Bolton2</v>
      </c>
      <c r="G111" s="541" t="str">
        <f t="shared" si="3"/>
        <v>NHS Bury CCG</v>
      </c>
      <c r="H111" s="546">
        <v>1.2716610660868419E-2</v>
      </c>
      <c r="I111" s="546">
        <v>8.426758737430394E-3</v>
      </c>
      <c r="J111" s="384">
        <f>VLOOKUP($A111,'8.Non-elective admissions - CCG'!$D$5:$N$215,3,0)*$H111</f>
        <v>63.977268234829012</v>
      </c>
      <c r="K111" s="384">
        <f>VLOOKUP($A111,'8.Non-elective admissions - CCG'!$D$5:$N$215,4,0)*$H111</f>
        <v>61.650128483890093</v>
      </c>
      <c r="L111" s="384">
        <f>VLOOKUP($A111,'8.Non-elective admissions - CCG'!$D$5:$N$215,5,0)*$H111</f>
        <v>63.112538709889961</v>
      </c>
      <c r="M111" s="384">
        <f>VLOOKUP($A111,'8.Non-elective admissions - CCG'!$D$5:$N$215,6,0)*$H111</f>
        <v>61.472095934637935</v>
      </c>
      <c r="N111" s="384">
        <f>VLOOKUP($A111,'8.Non-elective admissions - CCG'!$D$5:$N$215,7,0)*$H111</f>
        <v>63.023522435263885</v>
      </c>
      <c r="O111" s="384">
        <f>VLOOKUP($A111,'8.Non-elective admissions - CCG'!$D$5:$N$215,8,0)*$H111</f>
        <v>61.001581340185801</v>
      </c>
      <c r="P111" s="384">
        <f>VLOOKUP($A111,'8.Non-elective admissions - CCG'!$D$5:$N$215,9,0)*$H111</f>
        <v>62.031626803716144</v>
      </c>
      <c r="Q111" s="384">
        <f>VLOOKUP($A111,'8.Non-elective admissions - CCG'!$D$5:$N$215,10,0)*$H111</f>
        <v>63.697502800289911</v>
      </c>
      <c r="R111" s="384">
        <f>VLOOKUP($A111,'8.Non-elective admissions - CCG'!$D$5:$Q$215,11,0)*$H111</f>
        <v>54.185478025960329</v>
      </c>
      <c r="S111" s="384">
        <f>VLOOKUP($A111,'8.Non-elective admissions - CCG'!$D$5:$Q$215,12,0)*$H111</f>
        <v>52.417869144099619</v>
      </c>
      <c r="T111" s="384">
        <f>VLOOKUP($A111,'8.Non-elective admissions - CCG'!$D$5:$Q$215,13,0)*$H111</f>
        <v>53.180865783751727</v>
      </c>
      <c r="U111" s="384">
        <f>VLOOKUP($A111,'8.Non-elective admissions - CCG'!$D$5:$Q$215,14,0)*$H111</f>
        <v>54.999341108255912</v>
      </c>
    </row>
    <row r="112" spans="1:21">
      <c r="A112" s="395" t="s">
        <v>108</v>
      </c>
      <c r="B112" s="395" t="s">
        <v>107</v>
      </c>
      <c r="C112" s="395" t="s">
        <v>668</v>
      </c>
      <c r="D112" s="395" t="s">
        <v>90</v>
      </c>
      <c r="E112" s="537">
        <f>COUNTIF($D$5:D112,D112)</f>
        <v>2</v>
      </c>
      <c r="F112" s="537" t="str">
        <f t="shared" si="2"/>
        <v>Bury2</v>
      </c>
      <c r="G112" s="541" t="str">
        <f t="shared" si="3"/>
        <v>NHS Bury CCG</v>
      </c>
      <c r="H112" s="546">
        <v>0.94542855839554785</v>
      </c>
      <c r="I112" s="546">
        <v>0.94331054292418492</v>
      </c>
      <c r="J112" s="384">
        <f>VLOOKUP($A112,'8.Non-elective admissions - CCG'!$D$5:$N$215,3,0)*$H112</f>
        <v>4756.4510772880012</v>
      </c>
      <c r="K112" s="384">
        <f>VLOOKUP($A112,'8.Non-elective admissions - CCG'!$D$5:$N$215,4,0)*$H112</f>
        <v>4583.4376511016162</v>
      </c>
      <c r="L112" s="384">
        <f>VLOOKUP($A112,'8.Non-elective admissions - CCG'!$D$5:$N$215,5,0)*$H112</f>
        <v>4692.1619353171036</v>
      </c>
      <c r="M112" s="384">
        <f>VLOOKUP($A112,'8.Non-elective admissions - CCG'!$D$5:$N$215,6,0)*$H112</f>
        <v>4570.2016512840783</v>
      </c>
      <c r="N112" s="384">
        <f>VLOOKUP($A112,'8.Non-elective admissions - CCG'!$D$5:$N$215,7,0)*$H112</f>
        <v>4685.5439354083355</v>
      </c>
      <c r="O112" s="384">
        <f>VLOOKUP($A112,'8.Non-elective admissions - CCG'!$D$5:$N$215,8,0)*$H112</f>
        <v>4535.220794623443</v>
      </c>
      <c r="P112" s="384">
        <f>VLOOKUP($A112,'8.Non-elective admissions - CCG'!$D$5:$N$215,9,0)*$H112</f>
        <v>4611.8005078534825</v>
      </c>
      <c r="Q112" s="384">
        <f>VLOOKUP($A112,'8.Non-elective admissions - CCG'!$D$5:$N$215,10,0)*$H112</f>
        <v>4735.6516490032991</v>
      </c>
      <c r="R112" s="384">
        <f>VLOOKUP($A112,'8.Non-elective admissions - CCG'!$D$5:$Q$215,11,0)*$H112</f>
        <v>4028.4710873234294</v>
      </c>
      <c r="S112" s="384">
        <f>VLOOKUP($A112,'8.Non-elective admissions - CCG'!$D$5:$Q$215,12,0)*$H112</f>
        <v>3897.0565177064482</v>
      </c>
      <c r="T112" s="384">
        <f>VLOOKUP($A112,'8.Non-elective admissions - CCG'!$D$5:$Q$215,13,0)*$H112</f>
        <v>3953.7822312101812</v>
      </c>
      <c r="U112" s="384">
        <f>VLOOKUP($A112,'8.Non-elective admissions - CCG'!$D$5:$Q$215,14,0)*$H112</f>
        <v>4088.9785150607445</v>
      </c>
    </row>
    <row r="113" spans="1:21">
      <c r="A113" s="395" t="s">
        <v>108</v>
      </c>
      <c r="B113" s="395" t="s">
        <v>107</v>
      </c>
      <c r="C113" s="395" t="s">
        <v>718</v>
      </c>
      <c r="D113" s="395" t="s">
        <v>270</v>
      </c>
      <c r="E113" s="537">
        <f>COUNTIF($D$5:D113,D113)</f>
        <v>5</v>
      </c>
      <c r="F113" s="537" t="str">
        <f t="shared" si="2"/>
        <v>Lancashire5</v>
      </c>
      <c r="G113" s="541" t="str">
        <f t="shared" si="3"/>
        <v>NHS Bury CCG</v>
      </c>
      <c r="H113" s="546">
        <v>1.3811384635658206E-2</v>
      </c>
      <c r="I113" s="546">
        <v>2.2220138376421376E-3</v>
      </c>
      <c r="J113" s="384">
        <f>VLOOKUP($A113,'8.Non-elective admissions - CCG'!$D$5:$N$215,3,0)*$H113</f>
        <v>69.485076101996441</v>
      </c>
      <c r="K113" s="384">
        <f>VLOOKUP($A113,'8.Non-elective admissions - CCG'!$D$5:$N$215,4,0)*$H113</f>
        <v>66.957592713670977</v>
      </c>
      <c r="L113" s="384">
        <f>VLOOKUP($A113,'8.Non-elective admissions - CCG'!$D$5:$N$215,5,0)*$H113</f>
        <v>68.545901946771679</v>
      </c>
      <c r="M113" s="384">
        <f>VLOOKUP($A113,'8.Non-elective admissions - CCG'!$D$5:$N$215,6,0)*$H113</f>
        <v>66.764233328771766</v>
      </c>
      <c r="N113" s="384">
        <f>VLOOKUP($A113,'8.Non-elective admissions - CCG'!$D$5:$N$215,7,0)*$H113</f>
        <v>68.449222254322066</v>
      </c>
      <c r="O113" s="384">
        <f>VLOOKUP($A113,'8.Non-elective admissions - CCG'!$D$5:$N$215,8,0)*$H113</f>
        <v>66.253212097252415</v>
      </c>
      <c r="P113" s="384">
        <f>VLOOKUP($A113,'8.Non-elective admissions - CCG'!$D$5:$N$215,9,0)*$H113</f>
        <v>67.371934252740729</v>
      </c>
      <c r="Q113" s="384">
        <f>VLOOKUP($A113,'8.Non-elective admissions - CCG'!$D$5:$N$215,10,0)*$H113</f>
        <v>69.181225640011959</v>
      </c>
      <c r="R113" s="384">
        <f>VLOOKUP($A113,'8.Non-elective admissions - CCG'!$D$5:$Q$215,11,0)*$H113</f>
        <v>58.850309932539616</v>
      </c>
      <c r="S113" s="384">
        <f>VLOOKUP($A113,'8.Non-elective admissions - CCG'!$D$5:$Q$215,12,0)*$H113</f>
        <v>56.930527468183122</v>
      </c>
      <c r="T113" s="384">
        <f>VLOOKUP($A113,'8.Non-elective admissions - CCG'!$D$5:$Q$215,13,0)*$H113</f>
        <v>57.75921054632262</v>
      </c>
      <c r="U113" s="384">
        <f>VLOOKUP($A113,'8.Non-elective admissions - CCG'!$D$5:$Q$215,14,0)*$H113</f>
        <v>59.734238549221743</v>
      </c>
    </row>
    <row r="114" spans="1:21">
      <c r="A114" s="395" t="s">
        <v>108</v>
      </c>
      <c r="B114" s="395" t="s">
        <v>107</v>
      </c>
      <c r="C114" s="395" t="s">
        <v>726</v>
      </c>
      <c r="D114" s="395" t="s">
        <v>294</v>
      </c>
      <c r="E114" s="537">
        <f>COUNTIF($D$5:D114,D114)</f>
        <v>1</v>
      </c>
      <c r="F114" s="537" t="str">
        <f t="shared" si="2"/>
        <v>Manchester1</v>
      </c>
      <c r="G114" s="541" t="str">
        <f t="shared" si="3"/>
        <v>NHS Bury CCG</v>
      </c>
      <c r="H114" s="546">
        <v>2.6406353743772203E-3</v>
      </c>
      <c r="I114" s="546">
        <v>9.415157862018241E-4</v>
      </c>
      <c r="J114" s="384">
        <f>VLOOKUP($A114,'8.Non-elective admissions - CCG'!$D$5:$N$215,3,0)*$H114</f>
        <v>13.285036568491796</v>
      </c>
      <c r="K114" s="384">
        <f>VLOOKUP($A114,'8.Non-elective admissions - CCG'!$D$5:$N$215,4,0)*$H114</f>
        <v>12.801800294980763</v>
      </c>
      <c r="L114" s="384">
        <f>VLOOKUP($A114,'8.Non-elective admissions - CCG'!$D$5:$N$215,5,0)*$H114</f>
        <v>13.105473363034145</v>
      </c>
      <c r="M114" s="384">
        <f>VLOOKUP($A114,'8.Non-elective admissions - CCG'!$D$5:$N$215,6,0)*$H114</f>
        <v>12.764831399739483</v>
      </c>
      <c r="N114" s="384">
        <f>VLOOKUP($A114,'8.Non-elective admissions - CCG'!$D$5:$N$215,7,0)*$H114</f>
        <v>13.086988915413503</v>
      </c>
      <c r="O114" s="384">
        <f>VLOOKUP($A114,'8.Non-elective admissions - CCG'!$D$5:$N$215,8,0)*$H114</f>
        <v>12.667127890887526</v>
      </c>
      <c r="P114" s="384">
        <f>VLOOKUP($A114,'8.Non-elective admissions - CCG'!$D$5:$N$215,9,0)*$H114</f>
        <v>12.88101935621208</v>
      </c>
      <c r="Q114" s="384">
        <f>VLOOKUP($A114,'8.Non-elective admissions - CCG'!$D$5:$N$215,10,0)*$H114</f>
        <v>13.226942590255497</v>
      </c>
      <c r="R114" s="384">
        <f>VLOOKUP($A114,'8.Non-elective admissions - CCG'!$D$5:$Q$215,11,0)*$H114</f>
        <v>11.251747330221336</v>
      </c>
      <c r="S114" s="384">
        <f>VLOOKUP($A114,'8.Non-elective admissions - CCG'!$D$5:$Q$215,12,0)*$H114</f>
        <v>10.884699013182901</v>
      </c>
      <c r="T114" s="384">
        <f>VLOOKUP($A114,'8.Non-elective admissions - CCG'!$D$5:$Q$215,13,0)*$H114</f>
        <v>11.043137135645535</v>
      </c>
      <c r="U114" s="384">
        <f>VLOOKUP($A114,'8.Non-elective admissions - CCG'!$D$5:$Q$215,14,0)*$H114</f>
        <v>11.420747994181477</v>
      </c>
    </row>
    <row r="115" spans="1:21">
      <c r="A115" s="395" t="s">
        <v>108</v>
      </c>
      <c r="B115" s="395" t="s">
        <v>107</v>
      </c>
      <c r="C115" s="395" t="s">
        <v>752</v>
      </c>
      <c r="D115" s="395" t="s">
        <v>372</v>
      </c>
      <c r="E115" s="537">
        <f>COUNTIF($D$5:D115,D115)</f>
        <v>1</v>
      </c>
      <c r="F115" s="537" t="str">
        <f t="shared" si="2"/>
        <v>Rochdale1</v>
      </c>
      <c r="G115" s="541" t="str">
        <f t="shared" si="3"/>
        <v>NHS Bury CCG</v>
      </c>
      <c r="H115" s="546">
        <v>5.914820502683717E-3</v>
      </c>
      <c r="I115" s="546">
        <v>5.1924129369835962E-3</v>
      </c>
      <c r="J115" s="384">
        <f>VLOOKUP($A115,'8.Non-elective admissions - CCG'!$D$5:$N$215,3,0)*$H115</f>
        <v>29.75746194900178</v>
      </c>
      <c r="K115" s="384">
        <f>VLOOKUP($A115,'8.Non-elective admissions - CCG'!$D$5:$N$215,4,0)*$H115</f>
        <v>28.675049797010661</v>
      </c>
      <c r="L115" s="384">
        <f>VLOOKUP($A115,'8.Non-elective admissions - CCG'!$D$5:$N$215,5,0)*$H115</f>
        <v>29.355254154819288</v>
      </c>
      <c r="M115" s="384">
        <f>VLOOKUP($A115,'8.Non-elective admissions - CCG'!$D$5:$N$215,6,0)*$H115</f>
        <v>28.592242309973088</v>
      </c>
      <c r="N115" s="384">
        <f>VLOOKUP($A115,'8.Non-elective admissions - CCG'!$D$5:$N$215,7,0)*$H115</f>
        <v>29.3138504113005</v>
      </c>
      <c r="O115" s="384">
        <f>VLOOKUP($A115,'8.Non-elective admissions - CCG'!$D$5:$N$215,8,0)*$H115</f>
        <v>28.373393951373792</v>
      </c>
      <c r="P115" s="384">
        <f>VLOOKUP($A115,'8.Non-elective admissions - CCG'!$D$5:$N$215,9,0)*$H115</f>
        <v>28.852494412091172</v>
      </c>
      <c r="Q115" s="384">
        <f>VLOOKUP($A115,'8.Non-elective admissions - CCG'!$D$5:$N$215,10,0)*$H115</f>
        <v>29.627335897942739</v>
      </c>
      <c r="R115" s="384">
        <f>VLOOKUP($A115,'8.Non-elective admissions - CCG'!$D$5:$Q$215,11,0)*$H115</f>
        <v>25.20305016193532</v>
      </c>
      <c r="S115" s="384">
        <f>VLOOKUP($A115,'8.Non-elective admissions - CCG'!$D$5:$Q$215,12,0)*$H115</f>
        <v>24.380890112062282</v>
      </c>
      <c r="T115" s="384">
        <f>VLOOKUP($A115,'8.Non-elective admissions - CCG'!$D$5:$Q$215,13,0)*$H115</f>
        <v>24.735779342223303</v>
      </c>
      <c r="U115" s="384">
        <f>VLOOKUP($A115,'8.Non-elective admissions - CCG'!$D$5:$Q$215,14,0)*$H115</f>
        <v>25.581598674107077</v>
      </c>
    </row>
    <row r="116" spans="1:21">
      <c r="A116" s="395" t="s">
        <v>108</v>
      </c>
      <c r="B116" s="395" t="s">
        <v>107</v>
      </c>
      <c r="C116" s="395" t="s">
        <v>755</v>
      </c>
      <c r="D116" s="395" t="s">
        <v>381</v>
      </c>
      <c r="E116" s="537">
        <f>COUNTIF($D$5:D116,D116)</f>
        <v>2</v>
      </c>
      <c r="F116" s="537" t="str">
        <f t="shared" si="2"/>
        <v>Salford2</v>
      </c>
      <c r="G116" s="541" t="str">
        <f t="shared" si="3"/>
        <v>NHS Bury CCG</v>
      </c>
      <c r="H116" s="546">
        <v>1.7673503935611068E-2</v>
      </c>
      <c r="I116" s="546">
        <v>1.389630574263739E-2</v>
      </c>
      <c r="J116" s="384">
        <f>VLOOKUP($A116,'8.Non-elective admissions - CCG'!$D$5:$N$215,3,0)*$H116</f>
        <v>88.91539830005928</v>
      </c>
      <c r="K116" s="384">
        <f>VLOOKUP($A116,'8.Non-elective admissions - CCG'!$D$5:$N$215,4,0)*$H116</f>
        <v>85.681147079842461</v>
      </c>
      <c r="L116" s="384">
        <f>VLOOKUP($A116,'8.Non-elective admissions - CCG'!$D$5:$N$215,5,0)*$H116</f>
        <v>87.713600032437725</v>
      </c>
      <c r="M116" s="384">
        <f>VLOOKUP($A116,'8.Non-elective admissions - CCG'!$D$5:$N$215,6,0)*$H116</f>
        <v>85.433718024743897</v>
      </c>
      <c r="N116" s="384">
        <f>VLOOKUP($A116,'8.Non-elective admissions - CCG'!$D$5:$N$215,7,0)*$H116</f>
        <v>87.589885504888457</v>
      </c>
      <c r="O116" s="384">
        <f>VLOOKUP($A116,'8.Non-elective admissions - CCG'!$D$5:$N$215,8,0)*$H116</f>
        <v>84.779798379126291</v>
      </c>
      <c r="P116" s="384">
        <f>VLOOKUP($A116,'8.Non-elective admissions - CCG'!$D$5:$N$215,9,0)*$H116</f>
        <v>86.211352197910784</v>
      </c>
      <c r="Q116" s="384">
        <f>VLOOKUP($A116,'8.Non-elective admissions - CCG'!$D$5:$N$215,10,0)*$H116</f>
        <v>88.526581213475836</v>
      </c>
      <c r="R116" s="384">
        <f>VLOOKUP($A116,'8.Non-elective admissions - CCG'!$D$5:$Q$215,11,0)*$H116</f>
        <v>75.306800269638757</v>
      </c>
      <c r="S116" s="384">
        <f>VLOOKUP($A116,'8.Non-elective admissions - CCG'!$D$5:$Q$215,12,0)*$H116</f>
        <v>72.850183222588825</v>
      </c>
      <c r="T116" s="384">
        <f>VLOOKUP($A116,'8.Non-elective admissions - CCG'!$D$5:$Q$215,13,0)*$H116</f>
        <v>73.910593458725486</v>
      </c>
      <c r="U116" s="384">
        <f>VLOOKUP($A116,'8.Non-elective admissions - CCG'!$D$5:$Q$215,14,0)*$H116</f>
        <v>76.437904521517865</v>
      </c>
    </row>
    <row r="117" spans="1:21">
      <c r="A117" s="395" t="s">
        <v>112</v>
      </c>
      <c r="B117" s="395" t="s">
        <v>111</v>
      </c>
      <c r="C117" s="395" t="s">
        <v>662</v>
      </c>
      <c r="D117" s="395" t="s">
        <v>68</v>
      </c>
      <c r="E117" s="537">
        <f>COUNTIF($D$5:D117,D117)</f>
        <v>4</v>
      </c>
      <c r="F117" s="537" t="str">
        <f t="shared" si="2"/>
        <v>Bradford4</v>
      </c>
      <c r="G117" s="541" t="str">
        <f t="shared" si="3"/>
        <v>NHS Calderdale CCG</v>
      </c>
      <c r="H117" s="546">
        <v>1.3782641272073041E-3</v>
      </c>
      <c r="I117" s="546">
        <v>0</v>
      </c>
      <c r="J117" s="384">
        <f>VLOOKUP($A117,'8.Non-elective admissions - CCG'!$D$5:$N$215,3,0)*$H117</f>
        <v>8.454272156289603</v>
      </c>
      <c r="K117" s="384">
        <f>VLOOKUP($A117,'8.Non-elective admissions - CCG'!$D$5:$N$215,4,0)*$H117</f>
        <v>8.0904104267068746</v>
      </c>
      <c r="L117" s="384">
        <f>VLOOKUP($A117,'8.Non-elective admissions - CCG'!$D$5:$N$215,5,0)*$H117</f>
        <v>9.0620866363880239</v>
      </c>
      <c r="M117" s="384">
        <f>VLOOKUP($A117,'8.Non-elective admissions - CCG'!$D$5:$N$215,6,0)*$H117</f>
        <v>8.3178240076960801</v>
      </c>
      <c r="N117" s="384">
        <f>VLOOKUP($A117,'8.Non-elective admissions - CCG'!$D$5:$N$215,7,0)*$H117</f>
        <v>8.4404895150175303</v>
      </c>
      <c r="O117" s="384">
        <f>VLOOKUP($A117,'8.Non-elective admissions - CCG'!$D$5:$N$215,8,0)*$H117</f>
        <v>8.0766277854348019</v>
      </c>
      <c r="P117" s="384">
        <f>VLOOKUP($A117,'8.Non-elective admissions - CCG'!$D$5:$N$215,9,0)*$H117</f>
        <v>9.0427909386071228</v>
      </c>
      <c r="Q117" s="384">
        <f>VLOOKUP($A117,'8.Non-elective admissions - CCG'!$D$5:$N$215,10,0)*$H117</f>
        <v>8.4694330616888838</v>
      </c>
      <c r="R117" s="384">
        <f>VLOOKUP($A117,'8.Non-elective admissions - CCG'!$D$5:$Q$215,11,0)*$H117</f>
        <v>8.3977633270741041</v>
      </c>
      <c r="S117" s="384">
        <f>VLOOKUP($A117,'8.Non-elective admissions - CCG'!$D$5:$Q$215,12,0)*$H117</f>
        <v>8.0380363898729978</v>
      </c>
      <c r="T117" s="384">
        <f>VLOOKUP($A117,'8.Non-elective admissions - CCG'!$D$5:$Q$215,13,0)*$H117</f>
        <v>8.9986864865364886</v>
      </c>
      <c r="U117" s="384">
        <f>VLOOKUP($A117,'8.Non-elective admissions - CCG'!$D$5:$Q$215,14,0)*$H117</f>
        <v>8.4267068737454576</v>
      </c>
    </row>
    <row r="118" spans="1:21">
      <c r="A118" s="395" t="s">
        <v>112</v>
      </c>
      <c r="B118" s="395" t="s">
        <v>111</v>
      </c>
      <c r="C118" s="395" t="s">
        <v>669</v>
      </c>
      <c r="D118" s="395" t="s">
        <v>94</v>
      </c>
      <c r="E118" s="537">
        <f>COUNTIF($D$5:D118,D118)</f>
        <v>2</v>
      </c>
      <c r="F118" s="537" t="str">
        <f t="shared" si="2"/>
        <v>Calderdale2</v>
      </c>
      <c r="G118" s="541" t="str">
        <f t="shared" si="3"/>
        <v>NHS Calderdale CCG</v>
      </c>
      <c r="H118" s="546">
        <v>0.9859999814998105</v>
      </c>
      <c r="I118" s="546">
        <v>0.98748888312458305</v>
      </c>
      <c r="J118" s="384">
        <f>VLOOKUP($A118,'8.Non-elective admissions - CCG'!$D$5:$N$215,3,0)*$H118</f>
        <v>6048.1238865198375</v>
      </c>
      <c r="K118" s="384">
        <f>VLOOKUP($A118,'8.Non-elective admissions - CCG'!$D$5:$N$215,4,0)*$H118</f>
        <v>5787.8198914038876</v>
      </c>
      <c r="L118" s="384">
        <f>VLOOKUP($A118,'8.Non-elective admissions - CCG'!$D$5:$N$215,5,0)*$H118</f>
        <v>6482.9498783612544</v>
      </c>
      <c r="M118" s="384">
        <f>VLOOKUP($A118,'8.Non-elective admissions - CCG'!$D$5:$N$215,6,0)*$H118</f>
        <v>5950.5098883513565</v>
      </c>
      <c r="N118" s="384">
        <f>VLOOKUP($A118,'8.Non-elective admissions - CCG'!$D$5:$N$215,7,0)*$H118</f>
        <v>6038.263886704839</v>
      </c>
      <c r="O118" s="384">
        <f>VLOOKUP($A118,'8.Non-elective admissions - CCG'!$D$5:$N$215,8,0)*$H118</f>
        <v>5777.9598915888891</v>
      </c>
      <c r="P118" s="384">
        <f>VLOOKUP($A118,'8.Non-elective admissions - CCG'!$D$5:$N$215,9,0)*$H118</f>
        <v>6469.1458786202566</v>
      </c>
      <c r="Q118" s="384">
        <f>VLOOKUP($A118,'8.Non-elective admissions - CCG'!$D$5:$N$215,10,0)*$H118</f>
        <v>6058.9698863163358</v>
      </c>
      <c r="R118" s="384">
        <f>VLOOKUP($A118,'8.Non-elective admissions - CCG'!$D$5:$Q$215,11,0)*$H118</f>
        <v>6007.6978872783457</v>
      </c>
      <c r="S118" s="384">
        <f>VLOOKUP($A118,'8.Non-elective admissions - CCG'!$D$5:$Q$215,12,0)*$H118</f>
        <v>5750.3518921068944</v>
      </c>
      <c r="T118" s="384">
        <f>VLOOKUP($A118,'8.Non-elective admissions - CCG'!$D$5:$Q$215,13,0)*$H118</f>
        <v>6437.5938792122624</v>
      </c>
      <c r="U118" s="384">
        <f>VLOOKUP($A118,'8.Non-elective admissions - CCG'!$D$5:$Q$215,14,0)*$H118</f>
        <v>6028.4038868898415</v>
      </c>
    </row>
    <row r="119" spans="1:21">
      <c r="A119" s="395" t="s">
        <v>112</v>
      </c>
      <c r="B119" s="395" t="s">
        <v>111</v>
      </c>
      <c r="C119" s="395" t="s">
        <v>715</v>
      </c>
      <c r="D119" s="395" t="s">
        <v>261</v>
      </c>
      <c r="E119" s="537">
        <f>COUNTIF($D$5:D119,D119)</f>
        <v>3</v>
      </c>
      <c r="F119" s="537" t="str">
        <f t="shared" si="2"/>
        <v>Kirklees3</v>
      </c>
      <c r="G119" s="541" t="str">
        <f t="shared" si="3"/>
        <v>NHS Calderdale CCG</v>
      </c>
      <c r="H119" s="546">
        <v>1.2621754372982324E-2</v>
      </c>
      <c r="I119" s="546">
        <v>6.2182848106601754E-3</v>
      </c>
      <c r="J119" s="384">
        <f>VLOOKUP($A119,'8.Non-elective admissions - CCG'!$D$5:$N$215,3,0)*$H119</f>
        <v>77.421841323873579</v>
      </c>
      <c r="K119" s="384">
        <f>VLOOKUP($A119,'8.Non-elective admissions - CCG'!$D$5:$N$215,4,0)*$H119</f>
        <v>74.089698169406248</v>
      </c>
      <c r="L119" s="384">
        <f>VLOOKUP($A119,'8.Non-elective admissions - CCG'!$D$5:$N$215,5,0)*$H119</f>
        <v>82.988035002358785</v>
      </c>
      <c r="M119" s="384">
        <f>VLOOKUP($A119,'8.Non-elective admissions - CCG'!$D$5:$N$215,6,0)*$H119</f>
        <v>76.172287640948326</v>
      </c>
      <c r="N119" s="384">
        <f>VLOOKUP($A119,'8.Non-elective admissions - CCG'!$D$5:$N$215,7,0)*$H119</f>
        <v>77.295623780143757</v>
      </c>
      <c r="O119" s="384">
        <f>VLOOKUP($A119,'8.Non-elective admissions - CCG'!$D$5:$N$215,8,0)*$H119</f>
        <v>73.963480625676425</v>
      </c>
      <c r="P119" s="384">
        <f>VLOOKUP($A119,'8.Non-elective admissions - CCG'!$D$5:$N$215,9,0)*$H119</f>
        <v>82.811330441137031</v>
      </c>
      <c r="Q119" s="384">
        <f>VLOOKUP($A119,'8.Non-elective admissions - CCG'!$D$5:$N$215,10,0)*$H119</f>
        <v>77.560680621976388</v>
      </c>
      <c r="R119" s="384">
        <f>VLOOKUP($A119,'8.Non-elective admissions - CCG'!$D$5:$Q$215,11,0)*$H119</f>
        <v>76.904349394581303</v>
      </c>
      <c r="S119" s="384">
        <f>VLOOKUP($A119,'8.Non-elective admissions - CCG'!$D$5:$Q$215,12,0)*$H119</f>
        <v>73.610071503232916</v>
      </c>
      <c r="T119" s="384">
        <f>VLOOKUP($A119,'8.Non-elective admissions - CCG'!$D$5:$Q$215,13,0)*$H119</f>
        <v>82.40743430120159</v>
      </c>
      <c r="U119" s="384">
        <f>VLOOKUP($A119,'8.Non-elective admissions - CCG'!$D$5:$Q$215,14,0)*$H119</f>
        <v>77.169406236413934</v>
      </c>
    </row>
    <row r="120" spans="1:21">
      <c r="A120" s="395" t="s">
        <v>116</v>
      </c>
      <c r="B120" s="395" t="s">
        <v>115</v>
      </c>
      <c r="C120" s="395" t="s">
        <v>654</v>
      </c>
      <c r="D120" s="395" t="s">
        <v>34</v>
      </c>
      <c r="E120" s="537">
        <f>COUNTIF($D$5:D120,D120)</f>
        <v>2</v>
      </c>
      <c r="F120" s="537" t="str">
        <f t="shared" si="2"/>
        <v>Bedford2</v>
      </c>
      <c r="G120" s="541" t="str">
        <f t="shared" si="3"/>
        <v>NHS Cambridgeshire and Peterborough CCG</v>
      </c>
      <c r="H120" s="546">
        <v>3.7823259189504778E-3</v>
      </c>
      <c r="I120" s="546">
        <v>1.9597891409917752E-2</v>
      </c>
      <c r="J120" s="384">
        <f>VLOOKUP($A120,'8.Non-elective admissions - CCG'!$D$5:$N$215,3,0)*$H120</f>
        <v>65.237557450057835</v>
      </c>
      <c r="K120" s="384">
        <f>VLOOKUP($A120,'8.Non-elective admissions - CCG'!$D$5:$N$215,4,0)*$H120</f>
        <v>66.568936173528414</v>
      </c>
      <c r="L120" s="384">
        <f>VLOOKUP($A120,'8.Non-elective admissions - CCG'!$D$5:$N$215,5,0)*$H120</f>
        <v>70.116757885503958</v>
      </c>
      <c r="M120" s="384">
        <f>VLOOKUP($A120,'8.Non-elective admissions - CCG'!$D$5:$N$215,6,0)*$H120</f>
        <v>69.280863857415895</v>
      </c>
      <c r="N120" s="384">
        <f>VLOOKUP($A120,'8.Non-elective admissions - CCG'!$D$5:$N$215,7,0)*$H120</f>
        <v>65.194548622033452</v>
      </c>
      <c r="O120" s="384">
        <f>VLOOKUP($A120,'8.Non-elective admissions - CCG'!$D$5:$N$215,8,0)*$H120</f>
        <v>66.396624751638782</v>
      </c>
      <c r="P120" s="384">
        <f>VLOOKUP($A120,'8.Non-elective admissions - CCG'!$D$5:$N$215,9,0)*$H120</f>
        <v>69.957260983827737</v>
      </c>
      <c r="Q120" s="384">
        <f>VLOOKUP($A120,'8.Non-elective admissions - CCG'!$D$5:$N$215,10,0)*$H120</f>
        <v>68.204652187415505</v>
      </c>
      <c r="R120" s="384">
        <f>VLOOKUP($A120,'8.Non-elective admissions - CCG'!$D$5:$Q$215,11,0)*$H120</f>
        <v>64.701724055381376</v>
      </c>
      <c r="S120" s="384">
        <f>VLOOKUP($A120,'8.Non-elective admissions - CCG'!$D$5:$Q$215,12,0)*$H120</f>
        <v>65.909063783205283</v>
      </c>
      <c r="T120" s="384">
        <f>VLOOKUP($A120,'8.Non-elective admissions - CCG'!$D$5:$Q$215,13,0)*$H120</f>
        <v>69.391906875763183</v>
      </c>
      <c r="U120" s="384">
        <f>VLOOKUP($A120,'8.Non-elective admissions - CCG'!$D$5:$Q$215,14,0)*$H120</f>
        <v>67.675281010041317</v>
      </c>
    </row>
    <row r="121" spans="1:21">
      <c r="A121" s="395" t="s">
        <v>116</v>
      </c>
      <c r="B121" s="395" t="s">
        <v>115</v>
      </c>
      <c r="C121" s="395" t="s">
        <v>670</v>
      </c>
      <c r="D121" s="395" t="s">
        <v>98</v>
      </c>
      <c r="E121" s="537">
        <f>COUNTIF($D$5:D121,D121)</f>
        <v>2</v>
      </c>
      <c r="F121" s="537" t="str">
        <f t="shared" si="2"/>
        <v>Cambridgeshire2</v>
      </c>
      <c r="G121" s="541" t="str">
        <f t="shared" si="3"/>
        <v>NHS Cambridgeshire and Peterborough CCG</v>
      </c>
      <c r="H121" s="546">
        <v>0.72262126985081088</v>
      </c>
      <c r="I121" s="546">
        <v>0.96579379578332236</v>
      </c>
      <c r="J121" s="384">
        <f>VLOOKUP($A121,'8.Non-elective admissions - CCG'!$D$5:$N$215,3,0)*$H121</f>
        <v>12463.771662386785</v>
      </c>
      <c r="K121" s="384">
        <f>VLOOKUP($A121,'8.Non-elective admissions - CCG'!$D$5:$N$215,4,0)*$H121</f>
        <v>12718.134349374272</v>
      </c>
      <c r="L121" s="384">
        <f>VLOOKUP($A121,'8.Non-elective admissions - CCG'!$D$5:$N$215,5,0)*$H121</f>
        <v>13395.953100494333</v>
      </c>
      <c r="M121" s="384">
        <f>VLOOKUP($A121,'8.Non-elective admissions - CCG'!$D$5:$N$215,6,0)*$H121</f>
        <v>13236.253799857303</v>
      </c>
      <c r="N121" s="384">
        <f>VLOOKUP($A121,'8.Non-elective admissions - CCG'!$D$5:$N$215,7,0)*$H121</f>
        <v>12455.554735927313</v>
      </c>
      <c r="O121" s="384">
        <f>VLOOKUP($A121,'8.Non-elective admissions - CCG'!$D$5:$N$215,8,0)*$H121</f>
        <v>12685.213892183678</v>
      </c>
      <c r="P121" s="384">
        <f>VLOOKUP($A121,'8.Non-elective admissions - CCG'!$D$5:$N$215,9,0)*$H121</f>
        <v>13365.480884165994</v>
      </c>
      <c r="Q121" s="384">
        <f>VLOOKUP($A121,'8.Non-elective admissions - CCG'!$D$5:$N$215,10,0)*$H121</f>
        <v>13030.641311597765</v>
      </c>
      <c r="R121" s="384">
        <f>VLOOKUP($A121,'8.Non-elective admissions - CCG'!$D$5:$Q$215,11,0)*$H121</f>
        <v>12361.399572729049</v>
      </c>
      <c r="S121" s="384">
        <f>VLOOKUP($A121,'8.Non-elective admissions - CCG'!$D$5:$Q$215,12,0)*$H121</f>
        <v>12592.064350423178</v>
      </c>
      <c r="T121" s="384">
        <f>VLOOKUP($A121,'8.Non-elective admissions - CCG'!$D$5:$Q$215,13,0)*$H121</f>
        <v>13257.468800532984</v>
      </c>
      <c r="U121" s="384">
        <f>VLOOKUP($A121,'8.Non-elective admissions - CCG'!$D$5:$Q$215,14,0)*$H121</f>
        <v>12929.503842058202</v>
      </c>
    </row>
    <row r="122" spans="1:21">
      <c r="A122" s="395" t="s">
        <v>116</v>
      </c>
      <c r="B122" s="395" t="s">
        <v>115</v>
      </c>
      <c r="C122" s="395" t="s">
        <v>692</v>
      </c>
      <c r="D122" s="395" t="s">
        <v>180</v>
      </c>
      <c r="E122" s="537">
        <f>COUNTIF($D$5:D122,D122)</f>
        <v>2</v>
      </c>
      <c r="F122" s="537" t="str">
        <f t="shared" si="2"/>
        <v>Essex2</v>
      </c>
      <c r="G122" s="541" t="str">
        <f t="shared" si="3"/>
        <v>NHS Cambridgeshire and Peterborough CCG</v>
      </c>
      <c r="H122" s="546">
        <v>1.3245932441292138E-3</v>
      </c>
      <c r="I122" s="546">
        <v>0</v>
      </c>
      <c r="J122" s="384">
        <f>VLOOKUP($A122,'8.Non-elective admissions - CCG'!$D$5:$N$215,3,0)*$H122</f>
        <v>22.846584274740678</v>
      </c>
      <c r="K122" s="384">
        <f>VLOOKUP($A122,'8.Non-elective admissions - CCG'!$D$5:$N$215,4,0)*$H122</f>
        <v>23.312841096674163</v>
      </c>
      <c r="L122" s="384">
        <f>VLOOKUP($A122,'8.Non-elective admissions - CCG'!$D$5:$N$215,5,0)*$H122</f>
        <v>24.555309559667364</v>
      </c>
      <c r="M122" s="384">
        <f>VLOOKUP($A122,'8.Non-elective admissions - CCG'!$D$5:$N$215,6,0)*$H122</f>
        <v>24.262574452714809</v>
      </c>
      <c r="N122" s="384">
        <f>VLOOKUP($A122,'8.Non-elective admissions - CCG'!$D$5:$N$215,7,0)*$H122</f>
        <v>22.831522324961686</v>
      </c>
      <c r="O122" s="384">
        <f>VLOOKUP($A122,'8.Non-elective admissions - CCG'!$D$5:$N$215,8,0)*$H122</f>
        <v>23.252496602251366</v>
      </c>
      <c r="P122" s="384">
        <f>VLOOKUP($A122,'8.Non-elective admissions - CCG'!$D$5:$N$215,9,0)*$H122</f>
        <v>24.499452787155683</v>
      </c>
      <c r="Q122" s="384">
        <f>VLOOKUP($A122,'8.Non-elective admissions - CCG'!$D$5:$N$215,10,0)*$H122</f>
        <v>23.885678664810019</v>
      </c>
      <c r="R122" s="384">
        <f>VLOOKUP($A122,'8.Non-elective admissions - CCG'!$D$5:$Q$215,11,0)*$H122</f>
        <v>22.658932203032322</v>
      </c>
      <c r="S122" s="384">
        <f>VLOOKUP($A122,'8.Non-elective admissions - CCG'!$D$5:$Q$215,12,0)*$H122</f>
        <v>23.081749824018331</v>
      </c>
      <c r="T122" s="384">
        <f>VLOOKUP($A122,'8.Non-elective admissions - CCG'!$D$5:$Q$215,13,0)*$H122</f>
        <v>24.301462384390284</v>
      </c>
      <c r="U122" s="384">
        <f>VLOOKUP($A122,'8.Non-elective admissions - CCG'!$D$5:$Q$215,14,0)*$H122</f>
        <v>23.70028970039705</v>
      </c>
    </row>
    <row r="123" spans="1:21">
      <c r="A123" s="395" t="s">
        <v>116</v>
      </c>
      <c r="B123" s="395" t="s">
        <v>115</v>
      </c>
      <c r="C123" s="395" t="s">
        <v>705</v>
      </c>
      <c r="D123" s="395" t="s">
        <v>227</v>
      </c>
      <c r="E123" s="537">
        <f>COUNTIF($D$5:D123,D123)</f>
        <v>4</v>
      </c>
      <c r="F123" s="537" t="str">
        <f t="shared" si="2"/>
        <v>Hertfordshire4</v>
      </c>
      <c r="G123" s="541" t="str">
        <f t="shared" si="3"/>
        <v>NHS Cambridgeshire and Peterborough CCG</v>
      </c>
      <c r="H123" s="546">
        <v>2.1293671227051982E-2</v>
      </c>
      <c r="I123" s="546">
        <v>1.6054920753481854E-2</v>
      </c>
      <c r="J123" s="384">
        <f>VLOOKUP($A123,'8.Non-elective admissions - CCG'!$D$5:$N$215,3,0)*$H123</f>
        <v>367.27324132419255</v>
      </c>
      <c r="K123" s="384">
        <f>VLOOKUP($A123,'8.Non-elective admissions - CCG'!$D$5:$N$215,4,0)*$H123</f>
        <v>374.76861359611485</v>
      </c>
      <c r="L123" s="384">
        <f>VLOOKUP($A123,'8.Non-elective admissions - CCG'!$D$5:$N$215,5,0)*$H123</f>
        <v>394.74207720708961</v>
      </c>
      <c r="M123" s="384">
        <f>VLOOKUP($A123,'8.Non-elective admissions - CCG'!$D$5:$N$215,6,0)*$H123</f>
        <v>390.03617586591116</v>
      </c>
      <c r="N123" s="384">
        <f>VLOOKUP($A123,'8.Non-elective admissions - CCG'!$D$5:$N$215,7,0)*$H123</f>
        <v>367.03111098866981</v>
      </c>
      <c r="O123" s="384">
        <f>VLOOKUP($A123,'8.Non-elective admissions - CCG'!$D$5:$N$215,8,0)*$H123</f>
        <v>373.79853781602407</v>
      </c>
      <c r="P123" s="384">
        <f>VLOOKUP($A123,'8.Non-elective admissions - CCG'!$D$5:$N$215,9,0)*$H123</f>
        <v>393.84414438511612</v>
      </c>
      <c r="Q123" s="384">
        <f>VLOOKUP($A123,'8.Non-elective admissions - CCG'!$D$5:$N$215,10,0)*$H123</f>
        <v>383.97733853597953</v>
      </c>
      <c r="R123" s="384">
        <f>VLOOKUP($A123,'8.Non-elective admissions - CCG'!$D$5:$Q$215,11,0)*$H123</f>
        <v>364.25661600336832</v>
      </c>
      <c r="S123" s="384">
        <f>VLOOKUP($A123,'8.Non-elective admissions - CCG'!$D$5:$Q$215,12,0)*$H123</f>
        <v>371.05367574241228</v>
      </c>
      <c r="T123" s="384">
        <f>VLOOKUP($A123,'8.Non-elective admissions - CCG'!$D$5:$Q$215,13,0)*$H123</f>
        <v>390.66132387679505</v>
      </c>
      <c r="U123" s="384">
        <f>VLOOKUP($A123,'8.Non-elective admissions - CCG'!$D$5:$Q$215,14,0)*$H123</f>
        <v>380.99709409125671</v>
      </c>
    </row>
    <row r="124" spans="1:21">
      <c r="A124" s="395" t="s">
        <v>116</v>
      </c>
      <c r="B124" s="395" t="s">
        <v>115</v>
      </c>
      <c r="C124" s="395" t="s">
        <v>723</v>
      </c>
      <c r="D124" s="395" t="s">
        <v>285</v>
      </c>
      <c r="E124" s="537">
        <f>COUNTIF($D$5:D124,D124)</f>
        <v>1</v>
      </c>
      <c r="F124" s="537" t="str">
        <f t="shared" si="2"/>
        <v>Lincolnshire1</v>
      </c>
      <c r="G124" s="541" t="str">
        <f t="shared" si="3"/>
        <v>NHS Cambridgeshire and Peterborough CCG</v>
      </c>
      <c r="H124" s="546">
        <v>1.9768719340953643E-3</v>
      </c>
      <c r="I124" s="546">
        <v>2.3693394665784385E-3</v>
      </c>
      <c r="J124" s="384">
        <f>VLOOKUP($A124,'8.Non-elective admissions - CCG'!$D$5:$N$215,3,0)*$H124</f>
        <v>34.097087119276843</v>
      </c>
      <c r="K124" s="384">
        <f>VLOOKUP($A124,'8.Non-elective admissions - CCG'!$D$5:$N$215,4,0)*$H124</f>
        <v>34.792946040078412</v>
      </c>
      <c r="L124" s="384">
        <f>VLOOKUP($A124,'8.Non-elective admissions - CCG'!$D$5:$N$215,5,0)*$H124</f>
        <v>36.647251914259861</v>
      </c>
      <c r="M124" s="384">
        <f>VLOOKUP($A124,'8.Non-elective admissions - CCG'!$D$5:$N$215,6,0)*$H124</f>
        <v>36.210363216824788</v>
      </c>
      <c r="N124" s="384">
        <f>VLOOKUP($A124,'8.Non-elective admissions - CCG'!$D$5:$N$215,7,0)*$H124</f>
        <v>34.074608108514248</v>
      </c>
      <c r="O124" s="384">
        <f>VLOOKUP($A124,'8.Non-elective admissions - CCG'!$D$5:$N$215,8,0)*$H124</f>
        <v>34.702885685376827</v>
      </c>
      <c r="P124" s="384">
        <f>VLOOKUP($A124,'8.Non-elective admissions - CCG'!$D$5:$N$215,9,0)*$H124</f>
        <v>36.563889201670996</v>
      </c>
      <c r="Q124" s="384">
        <f>VLOOKUP($A124,'8.Non-elective admissions - CCG'!$D$5:$N$215,10,0)*$H124</f>
        <v>35.647870007313102</v>
      </c>
      <c r="R124" s="384">
        <f>VLOOKUP($A124,'8.Non-elective admissions - CCG'!$D$5:$Q$215,11,0)*$H124</f>
        <v>33.817028229063361</v>
      </c>
      <c r="S124" s="384">
        <f>VLOOKUP($A124,'8.Non-elective admissions - CCG'!$D$5:$Q$215,12,0)*$H124</f>
        <v>34.448056880215589</v>
      </c>
      <c r="T124" s="384">
        <f>VLOOKUP($A124,'8.Non-elective admissions - CCG'!$D$5:$Q$215,13,0)*$H124</f>
        <v>36.268401003930371</v>
      </c>
      <c r="U124" s="384">
        <f>VLOOKUP($A124,'8.Non-elective admissions - CCG'!$D$5:$Q$215,14,0)*$H124</f>
        <v>35.371188662105169</v>
      </c>
    </row>
    <row r="125" spans="1:21">
      <c r="A125" s="395" t="s">
        <v>116</v>
      </c>
      <c r="B125" s="395" t="s">
        <v>115</v>
      </c>
      <c r="C125" s="395" t="s">
        <v>733</v>
      </c>
      <c r="D125" s="395" t="s">
        <v>315</v>
      </c>
      <c r="E125" s="537">
        <f>COUNTIF($D$5:D125,D125)</f>
        <v>1</v>
      </c>
      <c r="F125" s="537" t="str">
        <f t="shared" si="2"/>
        <v>Norfolk1</v>
      </c>
      <c r="G125" s="541" t="str">
        <f t="shared" si="3"/>
        <v>NHS Cambridgeshire and Peterborough CCG</v>
      </c>
      <c r="H125" s="546">
        <v>7.3030724997745983E-3</v>
      </c>
      <c r="I125" s="546">
        <v>7.3032350849149951E-3</v>
      </c>
      <c r="J125" s="384">
        <f>VLOOKUP($A125,'8.Non-elective admissions - CCG'!$D$5:$N$215,3,0)*$H125</f>
        <v>125.96339447611227</v>
      </c>
      <c r="K125" s="384">
        <f>VLOOKUP($A125,'8.Non-elective admissions - CCG'!$D$5:$N$215,4,0)*$H125</f>
        <v>128.53407599603293</v>
      </c>
      <c r="L125" s="384">
        <f>VLOOKUP($A125,'8.Non-elective admissions - CCG'!$D$5:$N$215,5,0)*$H125</f>
        <v>135.38435800082149</v>
      </c>
      <c r="M125" s="384">
        <f>VLOOKUP($A125,'8.Non-elective admissions - CCG'!$D$5:$N$215,6,0)*$H125</f>
        <v>133.77037897837133</v>
      </c>
      <c r="N125" s="384">
        <f>VLOOKUP($A125,'8.Non-elective admissions - CCG'!$D$5:$N$215,7,0)*$H125</f>
        <v>125.88035123871734</v>
      </c>
      <c r="O125" s="384">
        <f>VLOOKUP($A125,'8.Non-elective admissions - CCG'!$D$5:$N$215,8,0)*$H125</f>
        <v>128.20136992216069</v>
      </c>
      <c r="P125" s="384">
        <f>VLOOKUP($A125,'8.Non-elective admissions - CCG'!$D$5:$N$215,9,0)*$H125</f>
        <v>135.07639473657852</v>
      </c>
      <c r="Q125" s="384">
        <f>VLOOKUP($A125,'8.Non-elective admissions - CCG'!$D$5:$N$215,10,0)*$H125</f>
        <v>131.69238463850297</v>
      </c>
      <c r="R125" s="384">
        <f>VLOOKUP($A125,'8.Non-elective admissions - CCG'!$D$5:$Q$215,11,0)*$H125</f>
        <v>124.92878502865132</v>
      </c>
      <c r="S125" s="384">
        <f>VLOOKUP($A125,'8.Non-elective admissions - CCG'!$D$5:$Q$215,12,0)*$H125</f>
        <v>127.25996688687755</v>
      </c>
      <c r="T125" s="384">
        <f>VLOOKUP($A125,'8.Non-elective admissions - CCG'!$D$5:$Q$215,13,0)*$H125</f>
        <v>133.98478546553332</v>
      </c>
      <c r="U125" s="384">
        <f>VLOOKUP($A125,'8.Non-elective admissions - CCG'!$D$5:$Q$215,14,0)*$H125</f>
        <v>130.67025270950003</v>
      </c>
    </row>
    <row r="126" spans="1:21">
      <c r="A126" s="395" t="s">
        <v>116</v>
      </c>
      <c r="B126" s="395" t="s">
        <v>115</v>
      </c>
      <c r="C126" s="395" t="s">
        <v>739</v>
      </c>
      <c r="D126" s="395" t="s">
        <v>333</v>
      </c>
      <c r="E126" s="537">
        <f>COUNTIF($D$5:D126,D126)</f>
        <v>3</v>
      </c>
      <c r="F126" s="537" t="str">
        <f t="shared" si="2"/>
        <v>Northamptonshire3</v>
      </c>
      <c r="G126" s="541" t="str">
        <f t="shared" si="3"/>
        <v>NHS Cambridgeshire and Peterborough CCG</v>
      </c>
      <c r="H126" s="546">
        <v>1.6116626539283099E-2</v>
      </c>
      <c r="I126" s="546">
        <v>1.9257984369097848E-2</v>
      </c>
      <c r="J126" s="384">
        <f>VLOOKUP($A126,'8.Non-elective admissions - CCG'!$D$5:$N$215,3,0)*$H126</f>
        <v>277.97957454955491</v>
      </c>
      <c r="K126" s="384">
        <f>VLOOKUP($A126,'8.Non-elective admissions - CCG'!$D$5:$N$215,4,0)*$H126</f>
        <v>283.65262709138256</v>
      </c>
      <c r="L126" s="384">
        <f>VLOOKUP($A126,'8.Non-elective admissions - CCG'!$D$5:$N$215,5,0)*$H126</f>
        <v>298.77002278523008</v>
      </c>
      <c r="M126" s="384">
        <f>VLOOKUP($A126,'8.Non-elective admissions - CCG'!$D$5:$N$215,6,0)*$H126</f>
        <v>295.20824832004854</v>
      </c>
      <c r="N126" s="384">
        <f>VLOOKUP($A126,'8.Non-elective admissions - CCG'!$D$5:$N$215,7,0)*$H126</f>
        <v>277.79631238917671</v>
      </c>
      <c r="O126" s="384">
        <f>VLOOKUP($A126,'8.Non-elective admissions - CCG'!$D$5:$N$215,8,0)*$H126</f>
        <v>282.9184019361324</v>
      </c>
      <c r="P126" s="384">
        <f>VLOOKUP($A126,'8.Non-elective admissions - CCG'!$D$5:$N$215,9,0)*$H126</f>
        <v>298.0904007606951</v>
      </c>
      <c r="Q126" s="384">
        <f>VLOOKUP($A126,'8.Non-elective admissions - CCG'!$D$5:$N$215,10,0)*$H126</f>
        <v>290.6224717544406</v>
      </c>
      <c r="R126" s="384">
        <f>VLOOKUP($A126,'8.Non-elective admissions - CCG'!$D$5:$Q$215,11,0)*$H126</f>
        <v>275.69636921655882</v>
      </c>
      <c r="S126" s="384">
        <f>VLOOKUP($A126,'8.Non-elective admissions - CCG'!$D$5:$Q$215,12,0)*$H126</f>
        <v>280.84088714450542</v>
      </c>
      <c r="T126" s="384">
        <f>VLOOKUP($A126,'8.Non-elective admissions - CCG'!$D$5:$Q$215,13,0)*$H126</f>
        <v>295.68140660805625</v>
      </c>
      <c r="U126" s="384">
        <f>VLOOKUP($A126,'8.Non-elective admissions - CCG'!$D$5:$Q$215,14,0)*$H126</f>
        <v>288.36680216138564</v>
      </c>
    </row>
    <row r="127" spans="1:21">
      <c r="A127" s="395" t="s">
        <v>116</v>
      </c>
      <c r="B127" s="395" t="s">
        <v>115</v>
      </c>
      <c r="C127" s="395" t="s">
        <v>745</v>
      </c>
      <c r="D127" s="395" t="s">
        <v>351</v>
      </c>
      <c r="E127" s="537">
        <f>COUNTIF($D$5:D127,D127)</f>
        <v>1</v>
      </c>
      <c r="F127" s="537" t="str">
        <f t="shared" si="2"/>
        <v>Peterborough1</v>
      </c>
      <c r="G127" s="541" t="str">
        <f t="shared" si="3"/>
        <v>NHS Cambridgeshire and Peterborough CCG</v>
      </c>
      <c r="H127" s="546">
        <v>0.2239308361967923</v>
      </c>
      <c r="I127" s="546">
        <v>0.96013916927967013</v>
      </c>
      <c r="J127" s="384">
        <f>VLOOKUP($A127,'8.Non-elective admissions - CCG'!$D$5:$N$215,3,0)*$H127</f>
        <v>3862.3590627222734</v>
      </c>
      <c r="K127" s="384">
        <f>VLOOKUP($A127,'8.Non-elective admissions - CCG'!$D$5:$N$215,4,0)*$H127</f>
        <v>3941.1827170635443</v>
      </c>
      <c r="L127" s="384">
        <f>VLOOKUP($A127,'8.Non-elective admissions - CCG'!$D$5:$N$215,5,0)*$H127</f>
        <v>4151.229841416136</v>
      </c>
      <c r="M127" s="384">
        <f>VLOOKUP($A127,'8.Non-elective admissions - CCG'!$D$5:$N$215,6,0)*$H127</f>
        <v>4101.7411266166446</v>
      </c>
      <c r="N127" s="384">
        <f>VLOOKUP($A127,'8.Non-elective admissions - CCG'!$D$5:$N$215,7,0)*$H127</f>
        <v>3859.81274518388</v>
      </c>
      <c r="O127" s="384">
        <f>VLOOKUP($A127,'8.Non-elective admissions - CCG'!$D$5:$N$215,8,0)*$H127</f>
        <v>3930.9810999589272</v>
      </c>
      <c r="P127" s="384">
        <f>VLOOKUP($A127,'8.Non-elective admissions - CCG'!$D$5:$N$215,9,0)*$H127</f>
        <v>4141.7869019845539</v>
      </c>
      <c r="Q127" s="384">
        <f>VLOOKUP($A127,'8.Non-elective admissions - CCG'!$D$5:$N$215,10,0)*$H127</f>
        <v>4038.0245182777185</v>
      </c>
      <c r="R127" s="384">
        <f>VLOOKUP($A127,'8.Non-elective admissions - CCG'!$D$5:$Q$215,11,0)*$H127</f>
        <v>3830.6352973188514</v>
      </c>
      <c r="S127" s="384">
        <f>VLOOKUP($A127,'8.Non-elective admissions - CCG'!$D$5:$Q$215,12,0)*$H127</f>
        <v>3902.1152809634755</v>
      </c>
      <c r="T127" s="384">
        <f>VLOOKUP($A127,'8.Non-elective admissions - CCG'!$D$5:$Q$215,13,0)*$H127</f>
        <v>4108.3153765583902</v>
      </c>
      <c r="U127" s="384">
        <f>VLOOKUP($A127,'8.Non-elective admissions - CCG'!$D$5:$Q$215,14,0)*$H127</f>
        <v>4006.6833454258631</v>
      </c>
    </row>
    <row r="128" spans="1:21">
      <c r="A128" s="395" t="s">
        <v>116</v>
      </c>
      <c r="B128" s="395" t="s">
        <v>115</v>
      </c>
      <c r="C128" s="395" t="s">
        <v>754</v>
      </c>
      <c r="D128" s="395" t="s">
        <v>378</v>
      </c>
      <c r="E128" s="537">
        <f>COUNTIF($D$5:D128,D128)</f>
        <v>1</v>
      </c>
      <c r="F128" s="537" t="str">
        <f t="shared" si="2"/>
        <v>Rutland1</v>
      </c>
      <c r="G128" s="541" t="str">
        <f t="shared" si="3"/>
        <v>NHS Cambridgeshire and Peterborough CCG</v>
      </c>
      <c r="H128" s="546">
        <v>0</v>
      </c>
      <c r="I128" s="546">
        <v>3.2805708193225625E-3</v>
      </c>
      <c r="J128" s="384">
        <f>VLOOKUP($A128,'8.Non-elective admissions - CCG'!$D$5:$N$215,3,0)*$H128</f>
        <v>0</v>
      </c>
      <c r="K128" s="384">
        <f>VLOOKUP($A128,'8.Non-elective admissions - CCG'!$D$5:$N$215,4,0)*$H128</f>
        <v>0</v>
      </c>
      <c r="L128" s="384">
        <f>VLOOKUP($A128,'8.Non-elective admissions - CCG'!$D$5:$N$215,5,0)*$H128</f>
        <v>0</v>
      </c>
      <c r="M128" s="384">
        <f>VLOOKUP($A128,'8.Non-elective admissions - CCG'!$D$5:$N$215,6,0)*$H128</f>
        <v>0</v>
      </c>
      <c r="N128" s="384">
        <f>VLOOKUP($A128,'8.Non-elective admissions - CCG'!$D$5:$N$215,7,0)*$H128</f>
        <v>0</v>
      </c>
      <c r="O128" s="384">
        <f>VLOOKUP($A128,'8.Non-elective admissions - CCG'!$D$5:$N$215,8,0)*$H128</f>
        <v>0</v>
      </c>
      <c r="P128" s="384">
        <f>VLOOKUP($A128,'8.Non-elective admissions - CCG'!$D$5:$N$215,9,0)*$H128</f>
        <v>0</v>
      </c>
      <c r="Q128" s="384">
        <f>VLOOKUP($A128,'8.Non-elective admissions - CCG'!$D$5:$N$215,10,0)*$H128</f>
        <v>0</v>
      </c>
      <c r="R128" s="384">
        <f>VLOOKUP($A128,'8.Non-elective admissions - CCG'!$D$5:$Q$215,11,0)*$H128</f>
        <v>0</v>
      </c>
      <c r="S128" s="384">
        <f>VLOOKUP($A128,'8.Non-elective admissions - CCG'!$D$5:$Q$215,12,0)*$H128</f>
        <v>0</v>
      </c>
      <c r="T128" s="384">
        <f>VLOOKUP($A128,'8.Non-elective admissions - CCG'!$D$5:$Q$215,13,0)*$H128</f>
        <v>0</v>
      </c>
      <c r="U128" s="384">
        <f>VLOOKUP($A128,'8.Non-elective admissions - CCG'!$D$5:$Q$215,14,0)*$H128</f>
        <v>0</v>
      </c>
    </row>
    <row r="129" spans="1:21">
      <c r="A129" s="395" t="s">
        <v>116</v>
      </c>
      <c r="B129" s="395" t="s">
        <v>115</v>
      </c>
      <c r="C129" s="395" t="s">
        <v>773</v>
      </c>
      <c r="D129" s="395" t="s">
        <v>435</v>
      </c>
      <c r="E129" s="537">
        <f>COUNTIF($D$5:D129,D129)</f>
        <v>1</v>
      </c>
      <c r="F129" s="537" t="str">
        <f t="shared" si="2"/>
        <v>Suffolk1</v>
      </c>
      <c r="G129" s="541" t="str">
        <f t="shared" si="3"/>
        <v>NHS Cambridgeshire and Peterborough CCG</v>
      </c>
      <c r="H129" s="546">
        <v>1.6507325891122891E-3</v>
      </c>
      <c r="I129" s="546">
        <v>1.9891835628785882E-3</v>
      </c>
      <c r="J129" s="384">
        <f>VLOOKUP($A129,'8.Non-elective admissions - CCG'!$D$5:$N$215,3,0)*$H129</f>
        <v>28.471835697008764</v>
      </c>
      <c r="K129" s="384">
        <f>VLOOKUP($A129,'8.Non-elective admissions - CCG'!$D$5:$N$215,4,0)*$H129</f>
        <v>29.052893568376287</v>
      </c>
      <c r="L129" s="384">
        <f>VLOOKUP($A129,'8.Non-elective admissions - CCG'!$D$5:$N$215,5,0)*$H129</f>
        <v>30.601280736963616</v>
      </c>
      <c r="M129" s="384">
        <f>VLOOKUP($A129,'8.Non-elective admissions - CCG'!$D$5:$N$215,6,0)*$H129</f>
        <v>30.236468834769799</v>
      </c>
      <c r="N129" s="384">
        <f>VLOOKUP($A129,'8.Non-elective admissions - CCG'!$D$5:$N$215,7,0)*$H129</f>
        <v>28.453065216737969</v>
      </c>
      <c r="O129" s="384">
        <f>VLOOKUP($A129,'8.Non-elective admissions - CCG'!$D$5:$N$215,8,0)*$H129</f>
        <v>28.977691143814098</v>
      </c>
      <c r="P129" s="384">
        <f>VLOOKUP($A129,'8.Non-elective admissions - CCG'!$D$5:$N$215,9,0)*$H129</f>
        <v>30.531670994413343</v>
      </c>
      <c r="Q129" s="384">
        <f>VLOOKUP($A129,'8.Non-elective admissions - CCG'!$D$5:$N$215,10,0)*$H129</f>
        <v>29.766774336061562</v>
      </c>
      <c r="R129" s="384">
        <f>VLOOKUP($A129,'8.Non-elective admissions - CCG'!$D$5:$Q$215,11,0)*$H129</f>
        <v>28.237980216047841</v>
      </c>
      <c r="S129" s="384">
        <f>VLOOKUP($A129,'8.Non-elective admissions - CCG'!$D$5:$Q$215,12,0)*$H129</f>
        <v>28.764903352116963</v>
      </c>
      <c r="T129" s="384">
        <f>VLOOKUP($A129,'8.Non-elective admissions - CCG'!$D$5:$Q$215,13,0)*$H129</f>
        <v>30.284931694160331</v>
      </c>
      <c r="U129" s="384">
        <f>VLOOKUP($A129,'8.Non-elective admissions - CCG'!$D$5:$Q$215,14,0)*$H129</f>
        <v>29.535739181251113</v>
      </c>
    </row>
    <row r="130" spans="1:21">
      <c r="A130" s="395" t="s">
        <v>119</v>
      </c>
      <c r="B130" s="395" t="s">
        <v>118</v>
      </c>
      <c r="C130" s="395" t="s">
        <v>651</v>
      </c>
      <c r="D130" s="395" t="s">
        <v>16</v>
      </c>
      <c r="E130" s="537">
        <f>COUNTIF($D$5:D130,D130)</f>
        <v>3</v>
      </c>
      <c r="F130" s="537" t="str">
        <f t="shared" si="2"/>
        <v>Barnet3</v>
      </c>
      <c r="G130" s="541" t="str">
        <f t="shared" si="3"/>
        <v>NHS Camden CCG</v>
      </c>
      <c r="H130" s="546">
        <v>7.1040209381669772E-3</v>
      </c>
      <c r="I130" s="546">
        <v>4.8084654299279514E-3</v>
      </c>
      <c r="J130" s="384">
        <f>VLOOKUP($A130,'8.Non-elective admissions - CCG'!$D$5:$N$215,3,0)*$H130</f>
        <v>31.698141426101053</v>
      </c>
      <c r="K130" s="384">
        <f>VLOOKUP($A130,'8.Non-elective admissions - CCG'!$D$5:$N$215,4,0)*$H130</f>
        <v>31.499228839832377</v>
      </c>
      <c r="L130" s="384">
        <f>VLOOKUP($A130,'8.Non-elective admissions - CCG'!$D$5:$N$215,5,0)*$H130</f>
        <v>30.518873950365332</v>
      </c>
      <c r="M130" s="384">
        <f>VLOOKUP($A130,'8.Non-elective admissions - CCG'!$D$5:$N$215,6,0)*$H130</f>
        <v>31.065883562604192</v>
      </c>
      <c r="N130" s="384">
        <f>VLOOKUP($A130,'8.Non-elective admissions - CCG'!$D$5:$N$215,7,0)*$H130</f>
        <v>32.323295268659749</v>
      </c>
      <c r="O130" s="384">
        <f>VLOOKUP($A130,'8.Non-elective admissions - CCG'!$D$5:$N$215,8,0)*$H130</f>
        <v>32.685600336506262</v>
      </c>
      <c r="P130" s="384">
        <f>VLOOKUP($A130,'8.Non-elective admissions - CCG'!$D$5:$N$215,9,0)*$H130</f>
        <v>33.232609948745122</v>
      </c>
      <c r="Q130" s="384">
        <f>VLOOKUP($A130,'8.Non-elective admissions - CCG'!$D$5:$N$215,10,0)*$H130</f>
        <v>33.431522535013798</v>
      </c>
      <c r="R130" s="384">
        <f>VLOOKUP($A130,'8.Non-elective admissions - CCG'!$D$5:$Q$215,11,0)*$H130</f>
        <v>31.584477091090381</v>
      </c>
      <c r="S130" s="384">
        <f>VLOOKUP($A130,'8.Non-elective admissions - CCG'!$D$5:$Q$215,12,0)*$H130</f>
        <v>31.932574117060561</v>
      </c>
      <c r="T130" s="384">
        <f>VLOOKUP($A130,'8.Non-elective admissions - CCG'!$D$5:$Q$215,13,0)*$H130</f>
        <v>32.486687750237586</v>
      </c>
      <c r="U130" s="384">
        <f>VLOOKUP($A130,'8.Non-elective admissions - CCG'!$D$5:$Q$215,14,0)*$H130</f>
        <v>32.65008023181543</v>
      </c>
    </row>
    <row r="131" spans="1:21">
      <c r="A131" s="395" t="s">
        <v>119</v>
      </c>
      <c r="B131" s="395" t="s">
        <v>118</v>
      </c>
      <c r="C131" s="395" t="s">
        <v>663</v>
      </c>
      <c r="D131" s="395" t="s">
        <v>72</v>
      </c>
      <c r="E131" s="537">
        <f>COUNTIF($D$5:D131,D131)</f>
        <v>3</v>
      </c>
      <c r="F131" s="537" t="str">
        <f t="shared" si="2"/>
        <v>Brent3</v>
      </c>
      <c r="G131" s="541" t="str">
        <f t="shared" si="3"/>
        <v>NHS Camden CCG</v>
      </c>
      <c r="H131" s="546">
        <v>3.8156849304397958E-2</v>
      </c>
      <c r="I131" s="546">
        <v>2.68280861061896E-2</v>
      </c>
      <c r="J131" s="384">
        <f>VLOOKUP($A131,'8.Non-elective admissions - CCG'!$D$5:$N$215,3,0)*$H131</f>
        <v>170.2558615962237</v>
      </c>
      <c r="K131" s="384">
        <f>VLOOKUP($A131,'8.Non-elective admissions - CCG'!$D$5:$N$215,4,0)*$H131</f>
        <v>169.18746981570055</v>
      </c>
      <c r="L131" s="384">
        <f>VLOOKUP($A131,'8.Non-elective admissions - CCG'!$D$5:$N$215,5,0)*$H131</f>
        <v>163.92182461169364</v>
      </c>
      <c r="M131" s="384">
        <f>VLOOKUP($A131,'8.Non-elective admissions - CCG'!$D$5:$N$215,6,0)*$H131</f>
        <v>166.85990200813228</v>
      </c>
      <c r="N131" s="384">
        <f>VLOOKUP($A131,'8.Non-elective admissions - CCG'!$D$5:$N$215,7,0)*$H131</f>
        <v>173.6136643350107</v>
      </c>
      <c r="O131" s="384">
        <f>VLOOKUP($A131,'8.Non-elective admissions - CCG'!$D$5:$N$215,8,0)*$H131</f>
        <v>175.559663649535</v>
      </c>
      <c r="P131" s="384">
        <f>VLOOKUP($A131,'8.Non-elective admissions - CCG'!$D$5:$N$215,9,0)*$H131</f>
        <v>178.49774104597364</v>
      </c>
      <c r="Q131" s="384">
        <f>VLOOKUP($A131,'8.Non-elective admissions - CCG'!$D$5:$N$215,10,0)*$H131</f>
        <v>179.56613282649678</v>
      </c>
      <c r="R131" s="384">
        <f>VLOOKUP($A131,'8.Non-elective admissions - CCG'!$D$5:$Q$215,11,0)*$H131</f>
        <v>169.64535200735332</v>
      </c>
      <c r="S131" s="384">
        <f>VLOOKUP($A131,'8.Non-elective admissions - CCG'!$D$5:$Q$215,12,0)*$H131</f>
        <v>171.51503762326882</v>
      </c>
      <c r="T131" s="384">
        <f>VLOOKUP($A131,'8.Non-elective admissions - CCG'!$D$5:$Q$215,13,0)*$H131</f>
        <v>174.49127186901185</v>
      </c>
      <c r="U131" s="384">
        <f>VLOOKUP($A131,'8.Non-elective admissions - CCG'!$D$5:$Q$215,14,0)*$H131</f>
        <v>175.36887940301301</v>
      </c>
    </row>
    <row r="132" spans="1:21">
      <c r="A132" s="395" t="s">
        <v>119</v>
      </c>
      <c r="B132" s="395" t="s">
        <v>118</v>
      </c>
      <c r="C132" s="395" t="s">
        <v>671</v>
      </c>
      <c r="D132" s="395" t="s">
        <v>102</v>
      </c>
      <c r="E132" s="537">
        <f>COUNTIF($D$5:D132,D132)</f>
        <v>3</v>
      </c>
      <c r="F132" s="537" t="str">
        <f t="shared" si="2"/>
        <v>Camden3</v>
      </c>
      <c r="G132" s="541" t="str">
        <f t="shared" si="3"/>
        <v>NHS Camden CCG</v>
      </c>
      <c r="H132" s="546">
        <v>0.84332985402483307</v>
      </c>
      <c r="I132" s="546">
        <v>0.88587501278510783</v>
      </c>
      <c r="J132" s="384">
        <f>VLOOKUP($A132,'8.Non-elective admissions - CCG'!$D$5:$N$215,3,0)*$H132</f>
        <v>3762.9378086588054</v>
      </c>
      <c r="K132" s="384">
        <f>VLOOKUP($A132,'8.Non-elective admissions - CCG'!$D$5:$N$215,4,0)*$H132</f>
        <v>3739.3245727461099</v>
      </c>
      <c r="L132" s="384">
        <f>VLOOKUP($A132,'8.Non-elective admissions - CCG'!$D$5:$N$215,5,0)*$H132</f>
        <v>3622.9450528906827</v>
      </c>
      <c r="M132" s="384">
        <f>VLOOKUP($A132,'8.Non-elective admissions - CCG'!$D$5:$N$215,6,0)*$H132</f>
        <v>3687.881451650595</v>
      </c>
      <c r="N132" s="384">
        <f>VLOOKUP($A132,'8.Non-elective admissions - CCG'!$D$5:$N$215,7,0)*$H132</f>
        <v>3837.1508358129904</v>
      </c>
      <c r="O132" s="384">
        <f>VLOOKUP($A132,'8.Non-elective admissions - CCG'!$D$5:$N$215,8,0)*$H132</f>
        <v>3880.1606583682569</v>
      </c>
      <c r="P132" s="384">
        <f>VLOOKUP($A132,'8.Non-elective admissions - CCG'!$D$5:$N$215,9,0)*$H132</f>
        <v>3945.0970571281691</v>
      </c>
      <c r="Q132" s="384">
        <f>VLOOKUP($A132,'8.Non-elective admissions - CCG'!$D$5:$N$215,10,0)*$H132</f>
        <v>3968.7102930408646</v>
      </c>
      <c r="R132" s="384">
        <f>VLOOKUP($A132,'8.Non-elective admissions - CCG'!$D$5:$Q$215,11,0)*$H132</f>
        <v>3749.4445309944076</v>
      </c>
      <c r="S132" s="384">
        <f>VLOOKUP($A132,'8.Non-elective admissions - CCG'!$D$5:$Q$215,12,0)*$H132</f>
        <v>3790.7676938416248</v>
      </c>
      <c r="T132" s="384">
        <f>VLOOKUP($A132,'8.Non-elective admissions - CCG'!$D$5:$Q$215,13,0)*$H132</f>
        <v>3856.5474224555614</v>
      </c>
      <c r="U132" s="384">
        <f>VLOOKUP($A132,'8.Non-elective admissions - CCG'!$D$5:$Q$215,14,0)*$H132</f>
        <v>3875.9440090981329</v>
      </c>
    </row>
    <row r="133" spans="1:21">
      <c r="A133" s="395" t="s">
        <v>119</v>
      </c>
      <c r="B133" s="395" t="s">
        <v>118</v>
      </c>
      <c r="C133" s="395" t="s">
        <v>675</v>
      </c>
      <c r="D133" s="395" t="s">
        <v>117</v>
      </c>
      <c r="E133" s="537">
        <f>COUNTIF($D$5:D133,D133)</f>
        <v>1</v>
      </c>
      <c r="F133" s="537" t="str">
        <f t="shared" si="2"/>
        <v>City of London1</v>
      </c>
      <c r="G133" s="541" t="str">
        <f t="shared" si="3"/>
        <v>NHS Camden CCG</v>
      </c>
      <c r="H133" s="546">
        <v>1.8149527177553791E-3</v>
      </c>
      <c r="I133" s="546">
        <v>6.42315644383184E-2</v>
      </c>
      <c r="J133" s="384">
        <f>VLOOKUP($A133,'8.Non-elective admissions - CCG'!$D$5:$N$215,3,0)*$H133</f>
        <v>8.0983190266245018</v>
      </c>
      <c r="K133" s="384">
        <f>VLOOKUP($A133,'8.Non-elective admissions - CCG'!$D$5:$N$215,4,0)*$H133</f>
        <v>8.0475003505273506</v>
      </c>
      <c r="L133" s="384">
        <f>VLOOKUP($A133,'8.Non-elective admissions - CCG'!$D$5:$N$215,5,0)*$H133</f>
        <v>7.7970368754771089</v>
      </c>
      <c r="M133" s="384">
        <f>VLOOKUP($A133,'8.Non-elective admissions - CCG'!$D$5:$N$215,6,0)*$H133</f>
        <v>7.9367882347442729</v>
      </c>
      <c r="N133" s="384">
        <f>VLOOKUP($A133,'8.Non-elective admissions - CCG'!$D$5:$N$215,7,0)*$H133</f>
        <v>8.2580348657869749</v>
      </c>
      <c r="O133" s="384">
        <f>VLOOKUP($A133,'8.Non-elective admissions - CCG'!$D$5:$N$215,8,0)*$H133</f>
        <v>8.3505974543924992</v>
      </c>
      <c r="P133" s="384">
        <f>VLOOKUP($A133,'8.Non-elective admissions - CCG'!$D$5:$N$215,9,0)*$H133</f>
        <v>8.4903488136596632</v>
      </c>
      <c r="Q133" s="384">
        <f>VLOOKUP($A133,'8.Non-elective admissions - CCG'!$D$5:$N$215,10,0)*$H133</f>
        <v>8.5411674897568144</v>
      </c>
      <c r="R133" s="384">
        <f>VLOOKUP($A133,'8.Non-elective admissions - CCG'!$D$5:$Q$215,11,0)*$H133</f>
        <v>8.0692797831404164</v>
      </c>
      <c r="S133" s="384">
        <f>VLOOKUP($A133,'8.Non-elective admissions - CCG'!$D$5:$Q$215,12,0)*$H133</f>
        <v>8.1582124663104292</v>
      </c>
      <c r="T133" s="384">
        <f>VLOOKUP($A133,'8.Non-elective admissions - CCG'!$D$5:$Q$215,13,0)*$H133</f>
        <v>8.299778778295348</v>
      </c>
      <c r="U133" s="384">
        <f>VLOOKUP($A133,'8.Non-elective admissions - CCG'!$D$5:$Q$215,14,0)*$H133</f>
        <v>8.341522690803723</v>
      </c>
    </row>
    <row r="134" spans="1:21">
      <c r="A134" s="395" t="s">
        <v>119</v>
      </c>
      <c r="B134" s="395" t="s">
        <v>118</v>
      </c>
      <c r="C134" s="395" t="s">
        <v>696</v>
      </c>
      <c r="D134" s="395" t="s">
        <v>195</v>
      </c>
      <c r="E134" s="537">
        <f>COUNTIF($D$5:D134,D134)</f>
        <v>1</v>
      </c>
      <c r="F134" s="537" t="str">
        <f t="shared" ref="F134:F197" si="4">D134&amp;E134</f>
        <v>Hackney1</v>
      </c>
      <c r="G134" s="541" t="str">
        <f t="shared" ref="G134:G197" si="5">B134</f>
        <v>NHS Camden CCG</v>
      </c>
      <c r="H134" s="546">
        <v>8.7670784713891805E-3</v>
      </c>
      <c r="I134" s="546">
        <v>8.1442004681739396E-3</v>
      </c>
      <c r="J134" s="384">
        <f>VLOOKUP($A134,'8.Non-elective admissions - CCG'!$D$5:$N$215,3,0)*$H134</f>
        <v>39.118704139338526</v>
      </c>
      <c r="K134" s="384">
        <f>VLOOKUP($A134,'8.Non-elective admissions - CCG'!$D$5:$N$215,4,0)*$H134</f>
        <v>38.873225942139626</v>
      </c>
      <c r="L134" s="384">
        <f>VLOOKUP($A134,'8.Non-elective admissions - CCG'!$D$5:$N$215,5,0)*$H134</f>
        <v>37.663369113087917</v>
      </c>
      <c r="M134" s="384">
        <f>VLOOKUP($A134,'8.Non-elective admissions - CCG'!$D$5:$N$215,6,0)*$H134</f>
        <v>38.338434155384888</v>
      </c>
      <c r="N134" s="384">
        <f>VLOOKUP($A134,'8.Non-elective admissions - CCG'!$D$5:$N$215,7,0)*$H134</f>
        <v>39.89020704482077</v>
      </c>
      <c r="O134" s="384">
        <f>VLOOKUP($A134,'8.Non-elective admissions - CCG'!$D$5:$N$215,8,0)*$H134</f>
        <v>40.337328046861622</v>
      </c>
      <c r="P134" s="384">
        <f>VLOOKUP($A134,'8.Non-elective admissions - CCG'!$D$5:$N$215,9,0)*$H134</f>
        <v>41.012393089158586</v>
      </c>
      <c r="Q134" s="384">
        <f>VLOOKUP($A134,'8.Non-elective admissions - CCG'!$D$5:$N$215,10,0)*$H134</f>
        <v>41.257871286357485</v>
      </c>
      <c r="R134" s="384">
        <f>VLOOKUP($A134,'8.Non-elective admissions - CCG'!$D$5:$Q$215,11,0)*$H134</f>
        <v>38.9784308837963</v>
      </c>
      <c r="S134" s="384">
        <f>VLOOKUP($A134,'8.Non-elective admissions - CCG'!$D$5:$Q$215,12,0)*$H134</f>
        <v>39.408017728894364</v>
      </c>
      <c r="T134" s="384">
        <f>VLOOKUP($A134,'8.Non-elective admissions - CCG'!$D$5:$Q$215,13,0)*$H134</f>
        <v>40.091849849662722</v>
      </c>
      <c r="U134" s="384">
        <f>VLOOKUP($A134,'8.Non-elective admissions - CCG'!$D$5:$Q$215,14,0)*$H134</f>
        <v>40.293492654504675</v>
      </c>
    </row>
    <row r="135" spans="1:21">
      <c r="A135" s="395" t="s">
        <v>119</v>
      </c>
      <c r="B135" s="395" t="s">
        <v>118</v>
      </c>
      <c r="C135" s="395" t="s">
        <v>698</v>
      </c>
      <c r="D135" s="395" t="s">
        <v>202</v>
      </c>
      <c r="E135" s="537">
        <f>COUNTIF($D$5:D135,D135)</f>
        <v>2</v>
      </c>
      <c r="F135" s="537" t="str">
        <f t="shared" si="4"/>
        <v>Hammersmith and Fulham2</v>
      </c>
      <c r="G135" s="541" t="str">
        <f t="shared" si="5"/>
        <v>NHS Camden CCG</v>
      </c>
      <c r="H135" s="546">
        <v>0</v>
      </c>
      <c r="I135" s="546">
        <v>9.0131985828183518E-4</v>
      </c>
      <c r="J135" s="384">
        <f>VLOOKUP($A135,'8.Non-elective admissions - CCG'!$D$5:$N$215,3,0)*$H135</f>
        <v>0</v>
      </c>
      <c r="K135" s="384">
        <f>VLOOKUP($A135,'8.Non-elective admissions - CCG'!$D$5:$N$215,4,0)*$H135</f>
        <v>0</v>
      </c>
      <c r="L135" s="384">
        <f>VLOOKUP($A135,'8.Non-elective admissions - CCG'!$D$5:$N$215,5,0)*$H135</f>
        <v>0</v>
      </c>
      <c r="M135" s="384">
        <f>VLOOKUP($A135,'8.Non-elective admissions - CCG'!$D$5:$N$215,6,0)*$H135</f>
        <v>0</v>
      </c>
      <c r="N135" s="384">
        <f>VLOOKUP($A135,'8.Non-elective admissions - CCG'!$D$5:$N$215,7,0)*$H135</f>
        <v>0</v>
      </c>
      <c r="O135" s="384">
        <f>VLOOKUP($A135,'8.Non-elective admissions - CCG'!$D$5:$N$215,8,0)*$H135</f>
        <v>0</v>
      </c>
      <c r="P135" s="384">
        <f>VLOOKUP($A135,'8.Non-elective admissions - CCG'!$D$5:$N$215,9,0)*$H135</f>
        <v>0</v>
      </c>
      <c r="Q135" s="384">
        <f>VLOOKUP($A135,'8.Non-elective admissions - CCG'!$D$5:$N$215,10,0)*$H135</f>
        <v>0</v>
      </c>
      <c r="R135" s="384">
        <f>VLOOKUP($A135,'8.Non-elective admissions - CCG'!$D$5:$Q$215,11,0)*$H135</f>
        <v>0</v>
      </c>
      <c r="S135" s="384">
        <f>VLOOKUP($A135,'8.Non-elective admissions - CCG'!$D$5:$Q$215,12,0)*$H135</f>
        <v>0</v>
      </c>
      <c r="T135" s="384">
        <f>VLOOKUP($A135,'8.Non-elective admissions - CCG'!$D$5:$Q$215,13,0)*$H135</f>
        <v>0</v>
      </c>
      <c r="U135" s="384">
        <f>VLOOKUP($A135,'8.Non-elective admissions - CCG'!$D$5:$Q$215,14,0)*$H135</f>
        <v>0</v>
      </c>
    </row>
    <row r="136" spans="1:21">
      <c r="A136" s="395" t="s">
        <v>119</v>
      </c>
      <c r="B136" s="395" t="s">
        <v>118</v>
      </c>
      <c r="C136" s="395" t="s">
        <v>700</v>
      </c>
      <c r="D136" s="395" t="s">
        <v>209</v>
      </c>
      <c r="E136" s="537">
        <f>COUNTIF($D$5:D136,D136)</f>
        <v>2</v>
      </c>
      <c r="F136" s="537" t="str">
        <f t="shared" si="4"/>
        <v>Haringey2</v>
      </c>
      <c r="G136" s="541" t="str">
        <f t="shared" si="5"/>
        <v>NHS Camden CCG</v>
      </c>
      <c r="H136" s="546">
        <v>4.3854866098552714E-3</v>
      </c>
      <c r="I136" s="546">
        <v>4.128231826247635E-3</v>
      </c>
      <c r="J136" s="384">
        <f>VLOOKUP($A136,'8.Non-elective admissions - CCG'!$D$5:$N$215,3,0)*$H136</f>
        <v>19.568041253174222</v>
      </c>
      <c r="K136" s="384">
        <f>VLOOKUP($A136,'8.Non-elective admissions - CCG'!$D$5:$N$215,4,0)*$H136</f>
        <v>19.445247628098272</v>
      </c>
      <c r="L136" s="384">
        <f>VLOOKUP($A136,'8.Non-elective admissions - CCG'!$D$5:$N$215,5,0)*$H136</f>
        <v>18.840050475938245</v>
      </c>
      <c r="M136" s="384">
        <f>VLOOKUP($A136,'8.Non-elective admissions - CCG'!$D$5:$N$215,6,0)*$H136</f>
        <v>19.177732944897102</v>
      </c>
      <c r="N136" s="384">
        <f>VLOOKUP($A136,'8.Non-elective admissions - CCG'!$D$5:$N$215,7,0)*$H136</f>
        <v>19.953964074841483</v>
      </c>
      <c r="O136" s="384">
        <f>VLOOKUP($A136,'8.Non-elective admissions - CCG'!$D$5:$N$215,8,0)*$H136</f>
        <v>20.177623891944105</v>
      </c>
      <c r="P136" s="384">
        <f>VLOOKUP($A136,'8.Non-elective admissions - CCG'!$D$5:$N$215,9,0)*$H136</f>
        <v>20.515306360902958</v>
      </c>
      <c r="Q136" s="384">
        <f>VLOOKUP($A136,'8.Non-elective admissions - CCG'!$D$5:$N$215,10,0)*$H136</f>
        <v>20.638099985978908</v>
      </c>
      <c r="R136" s="384">
        <f>VLOOKUP($A136,'8.Non-elective admissions - CCG'!$D$5:$Q$215,11,0)*$H136</f>
        <v>19.497873467416536</v>
      </c>
      <c r="S136" s="384">
        <f>VLOOKUP($A136,'8.Non-elective admissions - CCG'!$D$5:$Q$215,12,0)*$H136</f>
        <v>19.712762311299446</v>
      </c>
      <c r="T136" s="384">
        <f>VLOOKUP($A136,'8.Non-elective admissions - CCG'!$D$5:$Q$215,13,0)*$H136</f>
        <v>20.054830266868155</v>
      </c>
      <c r="U136" s="384">
        <f>VLOOKUP($A136,'8.Non-elective admissions - CCG'!$D$5:$Q$215,14,0)*$H136</f>
        <v>20.155696458894827</v>
      </c>
    </row>
    <row r="137" spans="1:21">
      <c r="A137" s="395" t="s">
        <v>119</v>
      </c>
      <c r="B137" s="395" t="s">
        <v>118</v>
      </c>
      <c r="C137" s="395" t="s">
        <v>710</v>
      </c>
      <c r="D137" s="395" t="s">
        <v>245</v>
      </c>
      <c r="E137" s="537">
        <f>COUNTIF($D$5:D137,D137)</f>
        <v>1</v>
      </c>
      <c r="F137" s="537" t="str">
        <f t="shared" si="4"/>
        <v>Islington1</v>
      </c>
      <c r="G137" s="541" t="str">
        <f t="shared" si="5"/>
        <v>NHS Camden CCG</v>
      </c>
      <c r="H137" s="546">
        <v>4.608655688669399E-2</v>
      </c>
      <c r="I137" s="546">
        <v>5.1005409599344811E-2</v>
      </c>
      <c r="J137" s="384">
        <f>VLOOKUP($A137,'8.Non-elective admissions - CCG'!$D$5:$N$215,3,0)*$H137</f>
        <v>205.6382168284286</v>
      </c>
      <c r="K137" s="384">
        <f>VLOOKUP($A137,'8.Non-elective admissions - CCG'!$D$5:$N$215,4,0)*$H137</f>
        <v>204.34779323560116</v>
      </c>
      <c r="L137" s="384">
        <f>VLOOKUP($A137,'8.Non-elective admissions - CCG'!$D$5:$N$215,5,0)*$H137</f>
        <v>197.98784838523738</v>
      </c>
      <c r="M137" s="384">
        <f>VLOOKUP($A137,'8.Non-elective admissions - CCG'!$D$5:$N$215,6,0)*$H137</f>
        <v>201.53651326551281</v>
      </c>
      <c r="N137" s="384">
        <f>VLOOKUP($A137,'8.Non-elective admissions - CCG'!$D$5:$N$215,7,0)*$H137</f>
        <v>209.69383383445765</v>
      </c>
      <c r="O137" s="384">
        <f>VLOOKUP($A137,'8.Non-elective admissions - CCG'!$D$5:$N$215,8,0)*$H137</f>
        <v>212.04424823567905</v>
      </c>
      <c r="P137" s="384">
        <f>VLOOKUP($A137,'8.Non-elective admissions - CCG'!$D$5:$N$215,9,0)*$H137</f>
        <v>215.59291311595447</v>
      </c>
      <c r="Q137" s="384">
        <f>VLOOKUP($A137,'8.Non-elective admissions - CCG'!$D$5:$N$215,10,0)*$H137</f>
        <v>216.88333670878191</v>
      </c>
      <c r="R137" s="384">
        <f>VLOOKUP($A137,'8.Non-elective admissions - CCG'!$D$5:$Q$215,11,0)*$H137</f>
        <v>204.90083191824147</v>
      </c>
      <c r="S137" s="384">
        <f>VLOOKUP($A137,'8.Non-elective admissions - CCG'!$D$5:$Q$215,12,0)*$H137</f>
        <v>207.15907320568948</v>
      </c>
      <c r="T137" s="384">
        <f>VLOOKUP($A137,'8.Non-elective admissions - CCG'!$D$5:$Q$215,13,0)*$H137</f>
        <v>210.75382464285161</v>
      </c>
      <c r="U137" s="384">
        <f>VLOOKUP($A137,'8.Non-elective admissions - CCG'!$D$5:$Q$215,14,0)*$H137</f>
        <v>211.81381545124557</v>
      </c>
    </row>
    <row r="138" spans="1:21">
      <c r="A138" s="395" t="s">
        <v>119</v>
      </c>
      <c r="B138" s="395" t="s">
        <v>118</v>
      </c>
      <c r="C138" s="395" t="s">
        <v>711</v>
      </c>
      <c r="D138" s="395" t="s">
        <v>248</v>
      </c>
      <c r="E138" s="537">
        <f>COUNTIF($D$5:D138,D138)</f>
        <v>2</v>
      </c>
      <c r="F138" s="537" t="str">
        <f t="shared" si="4"/>
        <v>Kensington and Chelsea2</v>
      </c>
      <c r="G138" s="541" t="str">
        <f t="shared" si="5"/>
        <v>NHS Camden CCG</v>
      </c>
      <c r="H138" s="546">
        <v>2.5471654021717123E-3</v>
      </c>
      <c r="I138" s="546">
        <v>4.0780440353929328E-3</v>
      </c>
      <c r="J138" s="384">
        <f>VLOOKUP($A138,'8.Non-elective admissions - CCG'!$D$5:$N$215,3,0)*$H138</f>
        <v>11.36545202449018</v>
      </c>
      <c r="K138" s="384">
        <f>VLOOKUP($A138,'8.Non-elective admissions - CCG'!$D$5:$N$215,4,0)*$H138</f>
        <v>11.294131393229373</v>
      </c>
      <c r="L138" s="384">
        <f>VLOOKUP($A138,'8.Non-elective admissions - CCG'!$D$5:$N$215,5,0)*$H138</f>
        <v>10.942622567729677</v>
      </c>
      <c r="M138" s="384">
        <f>VLOOKUP($A138,'8.Non-elective admissions - CCG'!$D$5:$N$215,6,0)*$H138</f>
        <v>11.138754303696897</v>
      </c>
      <c r="N138" s="384">
        <f>VLOOKUP($A138,'8.Non-elective admissions - CCG'!$D$5:$N$215,7,0)*$H138</f>
        <v>11.589602579881291</v>
      </c>
      <c r="O138" s="384">
        <f>VLOOKUP($A138,'8.Non-elective admissions - CCG'!$D$5:$N$215,8,0)*$H138</f>
        <v>11.719508015392048</v>
      </c>
      <c r="P138" s="384">
        <f>VLOOKUP($A138,'8.Non-elective admissions - CCG'!$D$5:$N$215,9,0)*$H138</f>
        <v>11.91563975135927</v>
      </c>
      <c r="Q138" s="384">
        <f>VLOOKUP($A138,'8.Non-elective admissions - CCG'!$D$5:$N$215,10,0)*$H138</f>
        <v>11.986960382620078</v>
      </c>
      <c r="R138" s="384">
        <f>VLOOKUP($A138,'8.Non-elective admissions - CCG'!$D$5:$Q$215,11,0)*$H138</f>
        <v>11.324697378055433</v>
      </c>
      <c r="S138" s="384">
        <f>VLOOKUP($A138,'8.Non-elective admissions - CCG'!$D$5:$Q$215,12,0)*$H138</f>
        <v>11.449508482761846</v>
      </c>
      <c r="T138" s="384">
        <f>VLOOKUP($A138,'8.Non-elective admissions - CCG'!$D$5:$Q$215,13,0)*$H138</f>
        <v>11.648187384131241</v>
      </c>
      <c r="U138" s="384">
        <f>VLOOKUP($A138,'8.Non-elective admissions - CCG'!$D$5:$Q$215,14,0)*$H138</f>
        <v>11.706772188381189</v>
      </c>
    </row>
    <row r="139" spans="1:21">
      <c r="A139" s="395" t="s">
        <v>119</v>
      </c>
      <c r="B139" s="395" t="s">
        <v>118</v>
      </c>
      <c r="C139" s="395" t="s">
        <v>767</v>
      </c>
      <c r="D139" s="395" t="s">
        <v>417</v>
      </c>
      <c r="E139" s="537">
        <f>COUNTIF($D$5:D139,D139)</f>
        <v>1</v>
      </c>
      <c r="F139" s="537" t="str">
        <f t="shared" si="4"/>
        <v>Southwark1</v>
      </c>
      <c r="G139" s="541" t="str">
        <f t="shared" si="5"/>
        <v>NHS Camden CCG</v>
      </c>
      <c r="H139" s="546">
        <v>4.8840143949897968E-3</v>
      </c>
      <c r="I139" s="546">
        <v>3.8794823644424095E-3</v>
      </c>
      <c r="J139" s="384">
        <f>VLOOKUP($A139,'8.Non-elective admissions - CCG'!$D$5:$N$215,3,0)*$H139</f>
        <v>21.792472230444474</v>
      </c>
      <c r="K139" s="384">
        <f>VLOOKUP($A139,'8.Non-elective admissions - CCG'!$D$5:$N$215,4,0)*$H139</f>
        <v>21.655719827384758</v>
      </c>
      <c r="L139" s="384">
        <f>VLOOKUP($A139,'8.Non-elective admissions - CCG'!$D$5:$N$215,5,0)*$H139</f>
        <v>20.981725840876166</v>
      </c>
      <c r="M139" s="384">
        <f>VLOOKUP($A139,'8.Non-elective admissions - CCG'!$D$5:$N$215,6,0)*$H139</f>
        <v>21.35779494929038</v>
      </c>
      <c r="N139" s="384">
        <f>VLOOKUP($A139,'8.Non-elective admissions - CCG'!$D$5:$N$215,7,0)*$H139</f>
        <v>22.222265497203576</v>
      </c>
      <c r="O139" s="384">
        <f>VLOOKUP($A139,'8.Non-elective admissions - CCG'!$D$5:$N$215,8,0)*$H139</f>
        <v>22.471350231348055</v>
      </c>
      <c r="P139" s="384">
        <f>VLOOKUP($A139,'8.Non-elective admissions - CCG'!$D$5:$N$215,9,0)*$H139</f>
        <v>22.847419339762268</v>
      </c>
      <c r="Q139" s="384">
        <f>VLOOKUP($A139,'8.Non-elective admissions - CCG'!$D$5:$N$215,10,0)*$H139</f>
        <v>22.984171742821985</v>
      </c>
      <c r="R139" s="384">
        <f>VLOOKUP($A139,'8.Non-elective admissions - CCG'!$D$5:$Q$215,11,0)*$H139</f>
        <v>21.714328000124638</v>
      </c>
      <c r="S139" s="384">
        <f>VLOOKUP($A139,'8.Non-elective admissions - CCG'!$D$5:$Q$215,12,0)*$H139</f>
        <v>21.953644705479135</v>
      </c>
      <c r="T139" s="384">
        <f>VLOOKUP($A139,'8.Non-elective admissions - CCG'!$D$5:$Q$215,13,0)*$H139</f>
        <v>22.334597828288342</v>
      </c>
      <c r="U139" s="384">
        <f>VLOOKUP($A139,'8.Non-elective admissions - CCG'!$D$5:$Q$215,14,0)*$H139</f>
        <v>22.446930159373107</v>
      </c>
    </row>
    <row r="140" spans="1:21">
      <c r="A140" s="395" t="s">
        <v>119</v>
      </c>
      <c r="B140" s="395" t="s">
        <v>118</v>
      </c>
      <c r="C140" s="395" t="s">
        <v>782</v>
      </c>
      <c r="D140" s="395" t="s">
        <v>462</v>
      </c>
      <c r="E140" s="537">
        <f>COUNTIF($D$5:D140,D140)</f>
        <v>1</v>
      </c>
      <c r="F140" s="537" t="str">
        <f t="shared" si="4"/>
        <v>Tower Hamlets1</v>
      </c>
      <c r="G140" s="541" t="str">
        <f t="shared" si="5"/>
        <v>NHS Camden CCG</v>
      </c>
      <c r="H140" s="546">
        <v>1.1298664880275439E-2</v>
      </c>
      <c r="I140" s="546">
        <v>1.0000517089818502E-2</v>
      </c>
      <c r="J140" s="384">
        <f>VLOOKUP($A140,'8.Non-elective admissions - CCG'!$D$5:$N$215,3,0)*$H140</f>
        <v>50.414642695789013</v>
      </c>
      <c r="K140" s="384">
        <f>VLOOKUP($A140,'8.Non-elective admissions - CCG'!$D$5:$N$215,4,0)*$H140</f>
        <v>50.098280079141297</v>
      </c>
      <c r="L140" s="384">
        <f>VLOOKUP($A140,'8.Non-elective admissions - CCG'!$D$5:$N$215,5,0)*$H140</f>
        <v>48.53906432566329</v>
      </c>
      <c r="M140" s="384">
        <f>VLOOKUP($A140,'8.Non-elective admissions - CCG'!$D$5:$N$215,6,0)*$H140</f>
        <v>49.409061521444499</v>
      </c>
      <c r="N140" s="384">
        <f>VLOOKUP($A140,'8.Non-elective admissions - CCG'!$D$5:$N$215,7,0)*$H140</f>
        <v>51.408925205253247</v>
      </c>
      <c r="O140" s="384">
        <f>VLOOKUP($A140,'8.Non-elective admissions - CCG'!$D$5:$N$215,8,0)*$H140</f>
        <v>51.985157114147299</v>
      </c>
      <c r="P140" s="384">
        <f>VLOOKUP($A140,'8.Non-elective admissions - CCG'!$D$5:$N$215,9,0)*$H140</f>
        <v>52.855154309928508</v>
      </c>
      <c r="Q140" s="384">
        <f>VLOOKUP($A140,'8.Non-elective admissions - CCG'!$D$5:$N$215,10,0)*$H140</f>
        <v>53.171516926576217</v>
      </c>
      <c r="R140" s="384">
        <f>VLOOKUP($A140,'8.Non-elective admissions - CCG'!$D$5:$Q$215,11,0)*$H140</f>
        <v>50.233864057704601</v>
      </c>
      <c r="S140" s="384">
        <f>VLOOKUP($A140,'8.Non-elective admissions - CCG'!$D$5:$Q$215,12,0)*$H140</f>
        <v>50.787498636838102</v>
      </c>
      <c r="T140" s="384">
        <f>VLOOKUP($A140,'8.Non-elective admissions - CCG'!$D$5:$Q$215,13,0)*$H140</f>
        <v>51.668794497499583</v>
      </c>
      <c r="U140" s="384">
        <f>VLOOKUP($A140,'8.Non-elective admissions - CCG'!$D$5:$Q$215,14,0)*$H140</f>
        <v>51.928663789745919</v>
      </c>
    </row>
    <row r="141" spans="1:21">
      <c r="A141" s="395" t="s">
        <v>119</v>
      </c>
      <c r="B141" s="395" t="s">
        <v>118</v>
      </c>
      <c r="C141" s="395" t="s">
        <v>792</v>
      </c>
      <c r="D141" s="395" t="s">
        <v>492</v>
      </c>
      <c r="E141" s="537">
        <f>COUNTIF($D$5:D141,D141)</f>
        <v>2</v>
      </c>
      <c r="F141" s="537" t="str">
        <f t="shared" si="4"/>
        <v>Westminster2</v>
      </c>
      <c r="G141" s="541" t="str">
        <f t="shared" si="5"/>
        <v>NHS Camden CCG</v>
      </c>
      <c r="H141" s="546">
        <v>3.1625356369471412E-2</v>
      </c>
      <c r="I141" s="546">
        <v>3.4713464292584914E-2</v>
      </c>
      <c r="J141" s="384">
        <f>VLOOKUP($A141,'8.Non-elective admissions - CCG'!$D$5:$N$215,3,0)*$H141</f>
        <v>141.11234012058145</v>
      </c>
      <c r="K141" s="384">
        <f>VLOOKUP($A141,'8.Non-elective admissions - CCG'!$D$5:$N$215,4,0)*$H141</f>
        <v>140.22683014223625</v>
      </c>
      <c r="L141" s="384">
        <f>VLOOKUP($A141,'8.Non-elective admissions - CCG'!$D$5:$N$215,5,0)*$H141</f>
        <v>135.86253096324918</v>
      </c>
      <c r="M141" s="384">
        <f>VLOOKUP($A141,'8.Non-elective admissions - CCG'!$D$5:$N$215,6,0)*$H141</f>
        <v>138.29768340369847</v>
      </c>
      <c r="N141" s="384">
        <f>VLOOKUP($A141,'8.Non-elective admissions - CCG'!$D$5:$N$215,7,0)*$H141</f>
        <v>143.89537148109491</v>
      </c>
      <c r="O141" s="384">
        <f>VLOOKUP($A141,'8.Non-elective admissions - CCG'!$D$5:$N$215,8,0)*$H141</f>
        <v>145.50826465593798</v>
      </c>
      <c r="P141" s="384">
        <f>VLOOKUP($A141,'8.Non-elective admissions - CCG'!$D$5:$N$215,9,0)*$H141</f>
        <v>147.94341709638726</v>
      </c>
      <c r="Q141" s="384">
        <f>VLOOKUP($A141,'8.Non-elective admissions - CCG'!$D$5:$N$215,10,0)*$H141</f>
        <v>148.82892707473246</v>
      </c>
      <c r="R141" s="384">
        <f>VLOOKUP($A141,'8.Non-elective admissions - CCG'!$D$5:$Q$215,11,0)*$H141</f>
        <v>140.60633441866989</v>
      </c>
      <c r="S141" s="384">
        <f>VLOOKUP($A141,'8.Non-elective admissions - CCG'!$D$5:$Q$215,12,0)*$H141</f>
        <v>142.15597688077401</v>
      </c>
      <c r="T141" s="384">
        <f>VLOOKUP($A141,'8.Non-elective admissions - CCG'!$D$5:$Q$215,13,0)*$H141</f>
        <v>144.62275467759278</v>
      </c>
      <c r="U141" s="384">
        <f>VLOOKUP($A141,'8.Non-elective admissions - CCG'!$D$5:$Q$215,14,0)*$H141</f>
        <v>145.35013787409062</v>
      </c>
    </row>
    <row r="142" spans="1:21">
      <c r="A142" s="395" t="s">
        <v>123</v>
      </c>
      <c r="B142" s="395" t="s">
        <v>122</v>
      </c>
      <c r="C142" s="395" t="s">
        <v>769</v>
      </c>
      <c r="D142" s="395" t="s">
        <v>423</v>
      </c>
      <c r="E142" s="537">
        <f>COUNTIF($D$5:D142,D142)</f>
        <v>2</v>
      </c>
      <c r="F142" s="537" t="str">
        <f t="shared" si="4"/>
        <v>Staffordshire2</v>
      </c>
      <c r="G142" s="541" t="str">
        <f t="shared" si="5"/>
        <v>NHS Cannock Chase CCG</v>
      </c>
      <c r="H142" s="546">
        <v>0.99319411407175062</v>
      </c>
      <c r="I142" s="546">
        <v>0.15219531041588091</v>
      </c>
      <c r="J142" s="384">
        <f>VLOOKUP($A142,'8.Non-elective admissions - CCG'!$D$5:$N$215,3,0)*$H142</f>
        <v>3547.6893754642933</v>
      </c>
      <c r="K142" s="384">
        <f>VLOOKUP($A142,'8.Non-elective admissions - CCG'!$D$5:$N$215,4,0)*$H142</f>
        <v>3471.2134286807686</v>
      </c>
      <c r="L142" s="384">
        <f>VLOOKUP($A142,'8.Non-elective admissions - CCG'!$D$5:$N$215,5,0)*$H142</f>
        <v>3601.3218576241679</v>
      </c>
      <c r="M142" s="384">
        <f>VLOOKUP($A142,'8.Non-elective admissions - CCG'!$D$5:$N$215,6,0)*$H142</f>
        <v>3574.5056165442306</v>
      </c>
      <c r="N142" s="384">
        <f>VLOOKUP($A142,'8.Non-elective admissions - CCG'!$D$5:$N$215,7,0)*$H142</f>
        <v>3566.5600636316567</v>
      </c>
      <c r="O142" s="384">
        <f>VLOOKUP($A142,'8.Non-elective admissions - CCG'!$D$5:$N$215,8,0)*$H142</f>
        <v>3454.3291287415486</v>
      </c>
      <c r="P142" s="384">
        <f>VLOOKUP($A142,'8.Non-elective admissions - CCG'!$D$5:$N$215,9,0)*$H142</f>
        <v>3303.3636234026426</v>
      </c>
      <c r="Q142" s="384">
        <f>VLOOKUP($A142,'8.Non-elective admissions - CCG'!$D$5:$N$215,10,0)*$H142</f>
        <v>3301.3772351744992</v>
      </c>
      <c r="R142" s="384">
        <f>VLOOKUP($A142,'8.Non-elective admissions - CCG'!$D$5:$Q$215,11,0)*$H142</f>
        <v>3328.1934762544365</v>
      </c>
      <c r="S142" s="384">
        <f>VLOOKUP($A142,'8.Non-elective admissions - CCG'!$D$5:$Q$215,12,0)*$H142</f>
        <v>3328.1934762544365</v>
      </c>
      <c r="T142" s="384">
        <f>VLOOKUP($A142,'8.Non-elective admissions - CCG'!$D$5:$Q$215,13,0)*$H142</f>
        <v>3328.1934762544365</v>
      </c>
      <c r="U142" s="384">
        <f>VLOOKUP($A142,'8.Non-elective admissions - CCG'!$D$5:$Q$215,14,0)*$H142</f>
        <v>3328.1934762544365</v>
      </c>
    </row>
    <row r="143" spans="1:21">
      <c r="A143" s="395" t="s">
        <v>123</v>
      </c>
      <c r="B143" s="395" t="s">
        <v>122</v>
      </c>
      <c r="C143" s="395" t="s">
        <v>785</v>
      </c>
      <c r="D143" s="395" t="s">
        <v>471</v>
      </c>
      <c r="E143" s="537">
        <f>COUNTIF($D$5:D143,D143)</f>
        <v>2</v>
      </c>
      <c r="F143" s="537" t="str">
        <f t="shared" si="4"/>
        <v>Walsall2</v>
      </c>
      <c r="G143" s="541" t="str">
        <f t="shared" si="5"/>
        <v>NHS Cannock Chase CCG</v>
      </c>
      <c r="H143" s="546">
        <v>6.8058859282493032E-3</v>
      </c>
      <c r="I143" s="546">
        <v>3.2533914902469997E-3</v>
      </c>
      <c r="J143" s="384">
        <f>VLOOKUP($A143,'8.Non-elective admissions - CCG'!$D$5:$N$215,3,0)*$H143</f>
        <v>24.310624535706513</v>
      </c>
      <c r="K143" s="384">
        <f>VLOOKUP($A143,'8.Non-elective admissions - CCG'!$D$5:$N$215,4,0)*$H143</f>
        <v>23.786571319231314</v>
      </c>
      <c r="L143" s="384">
        <f>VLOOKUP($A143,'8.Non-elective admissions - CCG'!$D$5:$N$215,5,0)*$H143</f>
        <v>24.678142375831975</v>
      </c>
      <c r="M143" s="384">
        <f>VLOOKUP($A143,'8.Non-elective admissions - CCG'!$D$5:$N$215,6,0)*$H143</f>
        <v>24.494383455769242</v>
      </c>
      <c r="N143" s="384">
        <f>VLOOKUP($A143,'8.Non-elective admissions - CCG'!$D$5:$N$215,7,0)*$H143</f>
        <v>24.439936368343247</v>
      </c>
      <c r="O143" s="384">
        <f>VLOOKUP($A143,'8.Non-elective admissions - CCG'!$D$5:$N$215,8,0)*$H143</f>
        <v>23.670871258451076</v>
      </c>
      <c r="P143" s="384">
        <f>VLOOKUP($A143,'8.Non-elective admissions - CCG'!$D$5:$N$215,9,0)*$H143</f>
        <v>22.636376597357181</v>
      </c>
      <c r="Q143" s="384">
        <f>VLOOKUP($A143,'8.Non-elective admissions - CCG'!$D$5:$N$215,10,0)*$H143</f>
        <v>22.622764825500685</v>
      </c>
      <c r="R143" s="384">
        <f>VLOOKUP($A143,'8.Non-elective admissions - CCG'!$D$5:$Q$215,11,0)*$H143</f>
        <v>22.806523745563414</v>
      </c>
      <c r="S143" s="384">
        <f>VLOOKUP($A143,'8.Non-elective admissions - CCG'!$D$5:$Q$215,12,0)*$H143</f>
        <v>22.806523745563414</v>
      </c>
      <c r="T143" s="384">
        <f>VLOOKUP($A143,'8.Non-elective admissions - CCG'!$D$5:$Q$215,13,0)*$H143</f>
        <v>22.806523745563414</v>
      </c>
      <c r="U143" s="384">
        <f>VLOOKUP($A143,'8.Non-elective admissions - CCG'!$D$5:$Q$215,14,0)*$H143</f>
        <v>22.806523745563414</v>
      </c>
    </row>
    <row r="144" spans="1:21">
      <c r="A144" s="395" t="s">
        <v>126</v>
      </c>
      <c r="B144" s="395" t="s">
        <v>125</v>
      </c>
      <c r="C144" s="395" t="s">
        <v>712</v>
      </c>
      <c r="D144" s="395" t="s">
        <v>252</v>
      </c>
      <c r="E144" s="537">
        <f>COUNTIF($D$5:D144,D144)</f>
        <v>4</v>
      </c>
      <c r="F144" s="537" t="str">
        <f t="shared" si="4"/>
        <v>Kent4</v>
      </c>
      <c r="G144" s="541" t="str">
        <f t="shared" si="5"/>
        <v>NHS Canterbury and Coastal CCG</v>
      </c>
      <c r="H144" s="546">
        <v>0.99999999999999989</v>
      </c>
      <c r="I144" s="546">
        <v>0.14061174826287143</v>
      </c>
      <c r="J144" s="384">
        <f>VLOOKUP($A144,'8.Non-elective admissions - CCG'!$D$5:$N$215,3,0)*$H144</f>
        <v>5468.9999999999991</v>
      </c>
      <c r="K144" s="384">
        <f>VLOOKUP($A144,'8.Non-elective admissions - CCG'!$D$5:$N$215,4,0)*$H144</f>
        <v>5330.9999999999991</v>
      </c>
      <c r="L144" s="384">
        <f>VLOOKUP($A144,'8.Non-elective admissions - CCG'!$D$5:$N$215,5,0)*$H144</f>
        <v>5427.9999999999991</v>
      </c>
      <c r="M144" s="384">
        <f>VLOOKUP($A144,'8.Non-elective admissions - CCG'!$D$5:$N$215,6,0)*$H144</f>
        <v>5525.9999999999991</v>
      </c>
      <c r="N144" s="384">
        <f>VLOOKUP($A144,'8.Non-elective admissions - CCG'!$D$5:$N$215,7,0)*$H144</f>
        <v>5621.2836131966997</v>
      </c>
      <c r="O144" s="384">
        <f>VLOOKUP($A144,'8.Non-elective admissions - CCG'!$D$5:$N$215,8,0)*$H144</f>
        <v>5683.0559605103999</v>
      </c>
      <c r="P144" s="384">
        <f>VLOOKUP($A144,'8.Non-elective admissions - CCG'!$D$5:$N$215,9,0)*$H144</f>
        <v>5683.0559605103999</v>
      </c>
      <c r="Q144" s="384">
        <f>VLOOKUP($A144,'8.Non-elective admissions - CCG'!$D$5:$N$215,10,0)*$H144</f>
        <v>5559.5112657028994</v>
      </c>
      <c r="R144" s="384">
        <f>VLOOKUP($A144,'8.Non-elective admissions - CCG'!$D$5:$Q$215,11,0)*$H144</f>
        <v>5492.1012201745989</v>
      </c>
      <c r="S144" s="384">
        <f>VLOOKUP($A144,'8.Non-elective admissions - CCG'!$D$5:$Q$215,12,0)*$H144</f>
        <v>5552.4539807853989</v>
      </c>
      <c r="T144" s="384">
        <f>VLOOKUP($A144,'8.Non-elective admissions - CCG'!$D$5:$Q$215,13,0)*$H144</f>
        <v>5552.4539807853989</v>
      </c>
      <c r="U144" s="384">
        <f>VLOOKUP($A144,'8.Non-elective admissions - CCG'!$D$5:$Q$215,14,0)*$H144</f>
        <v>5492.1012200645991</v>
      </c>
    </row>
    <row r="145" spans="1:21">
      <c r="A145" s="395" t="s">
        <v>130</v>
      </c>
      <c r="B145" s="395" t="s">
        <v>1216</v>
      </c>
      <c r="C145" s="395" t="s">
        <v>692</v>
      </c>
      <c r="D145" s="395" t="s">
        <v>180</v>
      </c>
      <c r="E145" s="537">
        <f>COUNTIF($D$5:D145,D145)</f>
        <v>3</v>
      </c>
      <c r="F145" s="537" t="str">
        <f t="shared" si="4"/>
        <v>Essex3</v>
      </c>
      <c r="G145" s="541" t="str">
        <f t="shared" si="5"/>
        <v>NHS Castle Point and Rochford CCG</v>
      </c>
      <c r="H145" s="546">
        <v>0.95696181562163496</v>
      </c>
      <c r="I145" s="546">
        <v>0.11770415066044347</v>
      </c>
      <c r="J145" s="384">
        <f>VLOOKUP($A145,'8.Non-elective admissions - CCG'!$D$5:$N$215,3,0)*$H145</f>
        <v>3715.8827300588086</v>
      </c>
      <c r="K145" s="384">
        <f>VLOOKUP($A145,'8.Non-elective admissions - CCG'!$D$5:$N$215,4,0)*$H145</f>
        <v>3788.6118280460528</v>
      </c>
      <c r="L145" s="384">
        <f>VLOOKUP($A145,'8.Non-elective admissions - CCG'!$D$5:$N$215,5,0)*$H145</f>
        <v>3773.3004389961065</v>
      </c>
      <c r="M145" s="384">
        <f>VLOOKUP($A145,'8.Non-elective admissions - CCG'!$D$5:$N$215,6,0)*$H145</f>
        <v>3951.2953367017308</v>
      </c>
      <c r="N145" s="384">
        <f>VLOOKUP($A145,'8.Non-elective admissions - CCG'!$D$5:$N$215,7,0)*$H145</f>
        <v>3965.396331395832</v>
      </c>
      <c r="O145" s="384">
        <f>VLOOKUP($A145,'8.Non-elective admissions - CCG'!$D$5:$N$215,8,0)*$H145</f>
        <v>3997.9541198245943</v>
      </c>
      <c r="P145" s="384">
        <f>VLOOKUP($A145,'8.Non-elective admissions - CCG'!$D$5:$N$215,9,0)*$H145</f>
        <v>4008.0360580775873</v>
      </c>
      <c r="Q145" s="384">
        <f>VLOOKUP($A145,'8.Non-elective admissions - CCG'!$D$5:$N$215,10,0)*$H145</f>
        <v>3929.1438432116947</v>
      </c>
      <c r="R145" s="384">
        <f>VLOOKUP($A145,'8.Non-elective admissions - CCG'!$D$5:$Q$215,11,0)*$H145</f>
        <v>3979.611211380613</v>
      </c>
      <c r="S145" s="384">
        <f>VLOOKUP($A145,'8.Non-elective admissions - CCG'!$D$5:$Q$215,12,0)*$H145</f>
        <v>4012.0390724682466</v>
      </c>
      <c r="T145" s="384">
        <f>VLOOKUP($A145,'8.Non-elective admissions - CCG'!$D$5:$Q$215,13,0)*$H145</f>
        <v>4022.2734763925992</v>
      </c>
      <c r="U145" s="384">
        <f>VLOOKUP($A145,'8.Non-elective admissions - CCG'!$D$5:$Q$215,14,0)*$H145</f>
        <v>3943.4472486708046</v>
      </c>
    </row>
    <row r="146" spans="1:21">
      <c r="A146" s="395" t="s">
        <v>130</v>
      </c>
      <c r="B146" s="395" t="s">
        <v>1216</v>
      </c>
      <c r="C146" s="395" t="s">
        <v>766</v>
      </c>
      <c r="D146" s="395" t="s">
        <v>414</v>
      </c>
      <c r="E146" s="537">
        <f>COUNTIF($D$5:D146,D146)</f>
        <v>1</v>
      </c>
      <c r="F146" s="537" t="str">
        <f t="shared" si="4"/>
        <v>Southend-on-Sea1</v>
      </c>
      <c r="G146" s="541" t="str">
        <f t="shared" si="5"/>
        <v>NHS Castle Point and Rochford CCG</v>
      </c>
      <c r="H146" s="546">
        <v>4.3038184378364944E-2</v>
      </c>
      <c r="I146" s="546">
        <v>4.192283487437673E-2</v>
      </c>
      <c r="J146" s="384">
        <f>VLOOKUP($A146,'8.Non-elective admissions - CCG'!$D$5:$N$215,3,0)*$H146</f>
        <v>167.11726994119107</v>
      </c>
      <c r="K146" s="384">
        <f>VLOOKUP($A146,'8.Non-elective admissions - CCG'!$D$5:$N$215,4,0)*$H146</f>
        <v>170.38817195394682</v>
      </c>
      <c r="L146" s="384">
        <f>VLOOKUP($A146,'8.Non-elective admissions - CCG'!$D$5:$N$215,5,0)*$H146</f>
        <v>169.69956100389297</v>
      </c>
      <c r="M146" s="384">
        <f>VLOOKUP($A146,'8.Non-elective admissions - CCG'!$D$5:$N$215,6,0)*$H146</f>
        <v>177.70466329826885</v>
      </c>
      <c r="N146" s="384">
        <f>VLOOKUP($A146,'8.Non-elective admissions - CCG'!$D$5:$N$215,7,0)*$H146</f>
        <v>178.33883824616774</v>
      </c>
      <c r="O146" s="384">
        <f>VLOOKUP($A146,'8.Non-elective admissions - CCG'!$D$5:$N$215,8,0)*$H146</f>
        <v>179.80308486340465</v>
      </c>
      <c r="P146" s="384">
        <f>VLOOKUP($A146,'8.Non-elective admissions - CCG'!$D$5:$N$215,9,0)*$H146</f>
        <v>180.25650767541282</v>
      </c>
      <c r="Q146" s="384">
        <f>VLOOKUP($A146,'8.Non-elective admissions - CCG'!$D$5:$N$215,10,0)*$H146</f>
        <v>176.70842703730474</v>
      </c>
      <c r="R146" s="384">
        <f>VLOOKUP($A146,'8.Non-elective admissions - CCG'!$D$5:$Q$215,11,0)*$H146</f>
        <v>178.97813504538635</v>
      </c>
      <c r="S146" s="384">
        <f>VLOOKUP($A146,'8.Non-elective admissions - CCG'!$D$5:$Q$215,12,0)*$H146</f>
        <v>180.4365383397529</v>
      </c>
      <c r="T146" s="384">
        <f>VLOOKUP($A146,'8.Non-elective admissions - CCG'!$D$5:$Q$215,13,0)*$H146</f>
        <v>180.89681810840054</v>
      </c>
      <c r="U146" s="384">
        <f>VLOOKUP($A146,'8.Non-elective admissions - CCG'!$D$5:$Q$215,14,0)*$H146</f>
        <v>177.35170516119499</v>
      </c>
    </row>
    <row r="147" spans="1:21">
      <c r="A147" s="395" t="s">
        <v>134</v>
      </c>
      <c r="B147" s="395" t="s">
        <v>133</v>
      </c>
      <c r="C147" s="395" t="s">
        <v>651</v>
      </c>
      <c r="D147" s="395" t="s">
        <v>16</v>
      </c>
      <c r="E147" s="537">
        <f>COUNTIF($D$5:D147,D147)</f>
        <v>4</v>
      </c>
      <c r="F147" s="537" t="str">
        <f t="shared" si="4"/>
        <v>Barnet4</v>
      </c>
      <c r="G147" s="541" t="str">
        <f t="shared" si="5"/>
        <v>NHS Central London (Westminster) CCG</v>
      </c>
      <c r="H147" s="546">
        <v>1.4603556395498668E-3</v>
      </c>
      <c r="I147" s="546">
        <v>0</v>
      </c>
      <c r="J147" s="384">
        <f>VLOOKUP($A147,'8.Non-elective admissions - CCG'!$D$5:$N$215,3,0)*$H147</f>
        <v>5.5843999656386911</v>
      </c>
      <c r="K147" s="384">
        <f>VLOOKUP($A147,'8.Non-elective admissions - CCG'!$D$5:$N$215,4,0)*$H147</f>
        <v>5.1667382527274288</v>
      </c>
      <c r="L147" s="384">
        <f>VLOOKUP($A147,'8.Non-elective admissions - CCG'!$D$5:$N$215,5,0)*$H147</f>
        <v>5.6165277897087877</v>
      </c>
      <c r="M147" s="384">
        <f>VLOOKUP($A147,'8.Non-elective admissions - CCG'!$D$5:$N$215,6,0)*$H147</f>
        <v>5.1550554076110302</v>
      </c>
      <c r="N147" s="384">
        <f>VLOOKUP($A147,'8.Non-elective admissions - CCG'!$D$5:$N$215,7,0)*$H147</f>
        <v>5.8478082233519464</v>
      </c>
      <c r="O147" s="384">
        <f>VLOOKUP($A147,'8.Non-elective admissions - CCG'!$D$5:$N$215,8,0)*$H147</f>
        <v>5.7126491052564203</v>
      </c>
      <c r="P147" s="384">
        <f>VLOOKUP($A147,'8.Non-elective admissions - CCG'!$D$5:$N$215,9,0)*$H147</f>
        <v>5.685545778317155</v>
      </c>
      <c r="Q147" s="384">
        <f>VLOOKUP($A147,'8.Non-elective admissions - CCG'!$D$5:$N$215,10,0)*$H147</f>
        <v>5.1685573316888593</v>
      </c>
      <c r="R147" s="384">
        <f>VLOOKUP($A147,'8.Non-elective admissions - CCG'!$D$5:$Q$215,11,0)*$H147</f>
        <v>5.79448024406752</v>
      </c>
      <c r="S147" s="384">
        <f>VLOOKUP($A147,'8.Non-elective admissions - CCG'!$D$5:$Q$215,12,0)*$H147</f>
        <v>5.6521181504716083</v>
      </c>
      <c r="T147" s="384">
        <f>VLOOKUP($A147,'8.Non-elective admissions - CCG'!$D$5:$Q$215,13,0)*$H147</f>
        <v>5.6280518933201611</v>
      </c>
      <c r="U147" s="384">
        <f>VLOOKUP($A147,'8.Non-elective admissions - CCG'!$D$5:$Q$215,14,0)*$H147</f>
        <v>5.1027920600077312</v>
      </c>
    </row>
    <row r="148" spans="1:21">
      <c r="A148" s="395" t="s">
        <v>134</v>
      </c>
      <c r="B148" s="395" t="s">
        <v>133</v>
      </c>
      <c r="C148" s="395" t="s">
        <v>663</v>
      </c>
      <c r="D148" s="395" t="s">
        <v>72</v>
      </c>
      <c r="E148" s="537">
        <f>COUNTIF($D$5:D148,D148)</f>
        <v>4</v>
      </c>
      <c r="F148" s="537" t="str">
        <f t="shared" si="4"/>
        <v>Brent4</v>
      </c>
      <c r="G148" s="541" t="str">
        <f t="shared" si="5"/>
        <v>NHS Central London (Westminster) CCG</v>
      </c>
      <c r="H148" s="546">
        <v>1.2744003193580499E-2</v>
      </c>
      <c r="I148" s="546">
        <v>6.9062399877319767E-3</v>
      </c>
      <c r="J148" s="384">
        <f>VLOOKUP($A148,'8.Non-elective admissions - CCG'!$D$5:$N$215,3,0)*$H148</f>
        <v>48.73306821225183</v>
      </c>
      <c r="K148" s="384">
        <f>VLOOKUP($A148,'8.Non-elective admissions - CCG'!$D$5:$N$215,4,0)*$H148</f>
        <v>45.088283298887809</v>
      </c>
      <c r="L148" s="384">
        <f>VLOOKUP($A148,'8.Non-elective admissions - CCG'!$D$5:$N$215,5,0)*$H148</f>
        <v>49.013436282510597</v>
      </c>
      <c r="M148" s="384">
        <f>VLOOKUP($A148,'8.Non-elective admissions - CCG'!$D$5:$N$215,6,0)*$H148</f>
        <v>44.986331273339161</v>
      </c>
      <c r="N148" s="384">
        <f>VLOOKUP($A148,'8.Non-elective admissions - CCG'!$D$5:$N$215,7,0)*$H148</f>
        <v>51.03173819824778</v>
      </c>
      <c r="O148" s="384">
        <f>VLOOKUP($A148,'8.Non-elective admissions - CCG'!$D$5:$N$215,8,0)*$H148</f>
        <v>49.852252745524886</v>
      </c>
      <c r="P148" s="384">
        <f>VLOOKUP($A148,'8.Non-elective admissions - CCG'!$D$5:$N$215,9,0)*$H148</f>
        <v>49.615731670989156</v>
      </c>
      <c r="Q148" s="384">
        <f>VLOOKUP($A148,'8.Non-elective admissions - CCG'!$D$5:$N$215,10,0)*$H148</f>
        <v>45.104157752661948</v>
      </c>
      <c r="R148" s="384">
        <f>VLOOKUP($A148,'8.Non-elective admissions - CCG'!$D$5:$Q$215,11,0)*$H148</f>
        <v>50.566363929198225</v>
      </c>
      <c r="S148" s="384">
        <f>VLOOKUP($A148,'8.Non-elective admissions - CCG'!$D$5:$Q$215,12,0)*$H148</f>
        <v>49.324020676433896</v>
      </c>
      <c r="T148" s="384">
        <f>VLOOKUP($A148,'8.Non-elective admissions - CCG'!$D$5:$Q$215,13,0)*$H148</f>
        <v>49.114003027520582</v>
      </c>
      <c r="U148" s="384">
        <f>VLOOKUP($A148,'8.Non-elective admissions - CCG'!$D$5:$Q$215,14,0)*$H148</f>
        <v>44.530247665534596</v>
      </c>
    </row>
    <row r="149" spans="1:21">
      <c r="A149" s="395" t="s">
        <v>134</v>
      </c>
      <c r="B149" s="395" t="s">
        <v>133</v>
      </c>
      <c r="C149" s="395" t="s">
        <v>671</v>
      </c>
      <c r="D149" s="395" t="s">
        <v>102</v>
      </c>
      <c r="E149" s="537">
        <f>COUNTIF($D$5:D149,D149)</f>
        <v>4</v>
      </c>
      <c r="F149" s="537" t="str">
        <f t="shared" si="4"/>
        <v>Camden4</v>
      </c>
      <c r="G149" s="541" t="str">
        <f t="shared" si="5"/>
        <v>NHS Central London (Westminster) CCG</v>
      </c>
      <c r="H149" s="546">
        <v>6.2704336094028715E-2</v>
      </c>
      <c r="I149" s="546">
        <v>5.0768129283011144E-2</v>
      </c>
      <c r="J149" s="384">
        <f>VLOOKUP($A149,'8.Non-elective admissions - CCG'!$D$5:$N$215,3,0)*$H149</f>
        <v>239.7813812235658</v>
      </c>
      <c r="K149" s="384">
        <f>VLOOKUP($A149,'8.Non-elective admissions - CCG'!$D$5:$N$215,4,0)*$H149</f>
        <v>221.84794110067358</v>
      </c>
      <c r="L149" s="384">
        <f>VLOOKUP($A149,'8.Non-elective admissions - CCG'!$D$5:$N$215,5,0)*$H149</f>
        <v>241.16087661763444</v>
      </c>
      <c r="M149" s="384">
        <f>VLOOKUP($A149,'8.Non-elective admissions - CCG'!$D$5:$N$215,6,0)*$H149</f>
        <v>221.34630641192138</v>
      </c>
      <c r="N149" s="384">
        <f>VLOOKUP($A149,'8.Non-elective admissions - CCG'!$D$5:$N$215,7,0)*$H149</f>
        <v>251.09153025458235</v>
      </c>
      <c r="O149" s="384">
        <f>VLOOKUP($A149,'8.Non-elective admissions - CCG'!$D$5:$N$215,8,0)*$H149</f>
        <v>245.28810639144265</v>
      </c>
      <c r="P149" s="384">
        <f>VLOOKUP($A149,'8.Non-elective admissions - CCG'!$D$5:$N$215,9,0)*$H149</f>
        <v>244.1243514295418</v>
      </c>
      <c r="Q149" s="384">
        <f>VLOOKUP($A149,'8.Non-elective admissions - CCG'!$D$5:$N$215,10,0)*$H149</f>
        <v>221.92604819697942</v>
      </c>
      <c r="R149" s="384">
        <f>VLOOKUP($A149,'8.Non-elective admissions - CCG'!$D$5:$Q$215,11,0)*$H149</f>
        <v>248.80174861118982</v>
      </c>
      <c r="S149" s="384">
        <f>VLOOKUP($A149,'8.Non-elective admissions - CCG'!$D$5:$Q$215,12,0)*$H149</f>
        <v>242.68904542976537</v>
      </c>
      <c r="T149" s="384">
        <f>VLOOKUP($A149,'8.Non-elective admissions - CCG'!$D$5:$Q$215,13,0)*$H149</f>
        <v>241.65569530868473</v>
      </c>
      <c r="U149" s="384">
        <f>VLOOKUP($A149,'8.Non-elective admissions - CCG'!$D$5:$Q$215,14,0)*$H149</f>
        <v>219.10223762157764</v>
      </c>
    </row>
    <row r="150" spans="1:21">
      <c r="A150" s="395" t="s">
        <v>134</v>
      </c>
      <c r="B150" s="395" t="s">
        <v>133</v>
      </c>
      <c r="C150" s="395" t="s">
        <v>675</v>
      </c>
      <c r="D150" s="395" t="s">
        <v>117</v>
      </c>
      <c r="E150" s="537">
        <f>COUNTIF($D$5:D150,D150)</f>
        <v>2</v>
      </c>
      <c r="F150" s="537" t="str">
        <f t="shared" si="4"/>
        <v>City of London2</v>
      </c>
      <c r="G150" s="541" t="str">
        <f t="shared" si="5"/>
        <v>NHS Central London (Westminster) CCG</v>
      </c>
      <c r="H150" s="546">
        <v>0</v>
      </c>
      <c r="I150" s="546">
        <v>8.1323225361819435E-3</v>
      </c>
      <c r="J150" s="384">
        <f>VLOOKUP($A150,'8.Non-elective admissions - CCG'!$D$5:$N$215,3,0)*$H150</f>
        <v>0</v>
      </c>
      <c r="K150" s="384">
        <f>VLOOKUP($A150,'8.Non-elective admissions - CCG'!$D$5:$N$215,4,0)*$H150</f>
        <v>0</v>
      </c>
      <c r="L150" s="384">
        <f>VLOOKUP($A150,'8.Non-elective admissions - CCG'!$D$5:$N$215,5,0)*$H150</f>
        <v>0</v>
      </c>
      <c r="M150" s="384">
        <f>VLOOKUP($A150,'8.Non-elective admissions - CCG'!$D$5:$N$215,6,0)*$H150</f>
        <v>0</v>
      </c>
      <c r="N150" s="384">
        <f>VLOOKUP($A150,'8.Non-elective admissions - CCG'!$D$5:$N$215,7,0)*$H150</f>
        <v>0</v>
      </c>
      <c r="O150" s="384">
        <f>VLOOKUP($A150,'8.Non-elective admissions - CCG'!$D$5:$N$215,8,0)*$H150</f>
        <v>0</v>
      </c>
      <c r="P150" s="384">
        <f>VLOOKUP($A150,'8.Non-elective admissions - CCG'!$D$5:$N$215,9,0)*$H150</f>
        <v>0</v>
      </c>
      <c r="Q150" s="384">
        <f>VLOOKUP($A150,'8.Non-elective admissions - CCG'!$D$5:$N$215,10,0)*$H150</f>
        <v>0</v>
      </c>
      <c r="R150" s="384">
        <f>VLOOKUP($A150,'8.Non-elective admissions - CCG'!$D$5:$Q$215,11,0)*$H150</f>
        <v>0</v>
      </c>
      <c r="S150" s="384">
        <f>VLOOKUP($A150,'8.Non-elective admissions - CCG'!$D$5:$Q$215,12,0)*$H150</f>
        <v>0</v>
      </c>
      <c r="T150" s="384">
        <f>VLOOKUP($A150,'8.Non-elective admissions - CCG'!$D$5:$Q$215,13,0)*$H150</f>
        <v>0</v>
      </c>
      <c r="U150" s="384">
        <f>VLOOKUP($A150,'8.Non-elective admissions - CCG'!$D$5:$Q$215,14,0)*$H150</f>
        <v>0</v>
      </c>
    </row>
    <row r="151" spans="1:21">
      <c r="A151" s="395" t="s">
        <v>134</v>
      </c>
      <c r="B151" s="395" t="s">
        <v>133</v>
      </c>
      <c r="C151" s="395" t="s">
        <v>688</v>
      </c>
      <c r="D151" s="395" t="s">
        <v>166</v>
      </c>
      <c r="E151" s="537">
        <f>COUNTIF($D$5:D151,D151)</f>
        <v>2</v>
      </c>
      <c r="F151" s="537" t="str">
        <f t="shared" si="4"/>
        <v>Ealing2</v>
      </c>
      <c r="G151" s="541" t="str">
        <f t="shared" si="5"/>
        <v>NHS Central London (Westminster) CCG</v>
      </c>
      <c r="H151" s="546">
        <v>1.9757752770380552E-3</v>
      </c>
      <c r="I151" s="546">
        <v>9.9312432849809631E-4</v>
      </c>
      <c r="J151" s="384">
        <f>VLOOKUP($A151,'8.Non-elective admissions - CCG'!$D$5:$N$215,3,0)*$H151</f>
        <v>7.5553646593935229</v>
      </c>
      <c r="K151" s="384">
        <f>VLOOKUP($A151,'8.Non-elective admissions - CCG'!$D$5:$N$215,4,0)*$H151</f>
        <v>6.9902929301606394</v>
      </c>
      <c r="L151" s="384">
        <f>VLOOKUP($A151,'8.Non-elective admissions - CCG'!$D$5:$N$215,5,0)*$H151</f>
        <v>7.5988317154883607</v>
      </c>
      <c r="M151" s="384">
        <f>VLOOKUP($A151,'8.Non-elective admissions - CCG'!$D$5:$N$215,6,0)*$H151</f>
        <v>6.9744867279443348</v>
      </c>
      <c r="N151" s="384">
        <f>VLOOKUP($A151,'8.Non-elective admissions - CCG'!$D$5:$N$215,7,0)*$H151</f>
        <v>7.9117405374761622</v>
      </c>
      <c r="O151" s="384">
        <f>VLOOKUP($A151,'8.Non-elective admissions - CCG'!$D$5:$N$215,8,0)*$H151</f>
        <v>7.7288782012292749</v>
      </c>
      <c r="P151" s="384">
        <f>VLOOKUP($A151,'8.Non-elective admissions - CCG'!$D$5:$N$215,9,0)*$H151</f>
        <v>7.6922089941937983</v>
      </c>
      <c r="Q151" s="384">
        <f>VLOOKUP($A151,'8.Non-elective admissions - CCG'!$D$5:$N$215,10,0)*$H151</f>
        <v>6.9927540369908092</v>
      </c>
      <c r="R151" s="384">
        <f>VLOOKUP($A151,'8.Non-elective admissions - CCG'!$D$5:$Q$215,11,0)*$H151</f>
        <v>7.8395909184442925</v>
      </c>
      <c r="S151" s="384">
        <f>VLOOKUP($A151,'8.Non-elective admissions - CCG'!$D$5:$Q$215,12,0)*$H151</f>
        <v>7.6469833800498233</v>
      </c>
      <c r="T151" s="384">
        <f>VLOOKUP($A151,'8.Non-elective admissions - CCG'!$D$5:$Q$215,13,0)*$H151</f>
        <v>7.6144231497861012</v>
      </c>
      <c r="U151" s="384">
        <f>VLOOKUP($A151,'8.Non-elective admissions - CCG'!$D$5:$Q$215,14,0)*$H151</f>
        <v>6.9037774929516367</v>
      </c>
    </row>
    <row r="152" spans="1:21">
      <c r="A152" s="395" t="s">
        <v>134</v>
      </c>
      <c r="B152" s="395" t="s">
        <v>133</v>
      </c>
      <c r="C152" s="395" t="s">
        <v>696</v>
      </c>
      <c r="D152" s="395" t="s">
        <v>195</v>
      </c>
      <c r="E152" s="537">
        <f>COUNTIF($D$5:D152,D152)</f>
        <v>2</v>
      </c>
      <c r="F152" s="537" t="str">
        <f t="shared" si="4"/>
        <v>Hackney2</v>
      </c>
      <c r="G152" s="541" t="str">
        <f t="shared" si="5"/>
        <v>NHS Central London (Westminster) CCG</v>
      </c>
      <c r="H152" s="546">
        <v>1.3643460992334396E-3</v>
      </c>
      <c r="I152" s="546">
        <v>9.7686989178452405E-4</v>
      </c>
      <c r="J152" s="384">
        <f>VLOOKUP($A152,'8.Non-elective admissions - CCG'!$D$5:$N$215,3,0)*$H152</f>
        <v>5.2172594834686734</v>
      </c>
      <c r="K152" s="384">
        <f>VLOOKUP($A152,'8.Non-elective admissions - CCG'!$D$5:$N$215,4,0)*$H152</f>
        <v>4.8270564990879095</v>
      </c>
      <c r="L152" s="384">
        <f>VLOOKUP($A152,'8.Non-elective admissions - CCG'!$D$5:$N$215,5,0)*$H152</f>
        <v>5.2472750976518086</v>
      </c>
      <c r="M152" s="384">
        <f>VLOOKUP($A152,'8.Non-elective admissions - CCG'!$D$5:$N$215,6,0)*$H152</f>
        <v>4.8161417302940421</v>
      </c>
      <c r="N152" s="384">
        <f>VLOOKUP($A152,'8.Non-elective admissions - CCG'!$D$5:$N$215,7,0)*$H152</f>
        <v>5.4633502432699839</v>
      </c>
      <c r="O152" s="384">
        <f>VLOOKUP($A152,'8.Non-elective admissions - CCG'!$D$5:$N$215,8,0)*$H152</f>
        <v>5.337077018751673</v>
      </c>
      <c r="P152" s="384">
        <f>VLOOKUP($A152,'8.Non-elective admissions - CCG'!$D$5:$N$215,9,0)*$H152</f>
        <v>5.311755571438173</v>
      </c>
      <c r="Q152" s="384">
        <f>VLOOKUP($A152,'8.Non-elective admissions - CCG'!$D$5:$N$215,10,0)*$H152</f>
        <v>4.8287559846228101</v>
      </c>
      <c r="R152" s="384">
        <f>VLOOKUP($A152,'8.Non-elective admissions - CCG'!$D$5:$Q$215,11,0)*$H152</f>
        <v>5.4135282557032198</v>
      </c>
      <c r="S152" s="384">
        <f>VLOOKUP($A152,'8.Non-elective admissions - CCG'!$D$5:$Q$215,12,0)*$H152</f>
        <v>5.2805256077070393</v>
      </c>
      <c r="T152" s="384">
        <f>VLOOKUP($A152,'8.Non-elective admissions - CCG'!$D$5:$Q$215,13,0)*$H152</f>
        <v>5.2580415612333686</v>
      </c>
      <c r="U152" s="384">
        <f>VLOOKUP($A152,'8.Non-elective admissions - CCG'!$D$5:$Q$215,14,0)*$H152</f>
        <v>4.7673143813221017</v>
      </c>
    </row>
    <row r="153" spans="1:21">
      <c r="A153" s="395" t="s">
        <v>134</v>
      </c>
      <c r="B153" s="395" t="s">
        <v>133</v>
      </c>
      <c r="C153" s="395" t="s">
        <v>698</v>
      </c>
      <c r="D153" s="395" t="s">
        <v>202</v>
      </c>
      <c r="E153" s="537">
        <f>COUNTIF($D$5:D153,D153)</f>
        <v>3</v>
      </c>
      <c r="F153" s="537" t="str">
        <f t="shared" si="4"/>
        <v>Hammersmith and Fulham3</v>
      </c>
      <c r="G153" s="541" t="str">
        <f t="shared" si="5"/>
        <v>NHS Central London (Westminster) CCG</v>
      </c>
      <c r="H153" s="546">
        <v>2.556885652637483E-2</v>
      </c>
      <c r="I153" s="546">
        <v>2.4258928100564289E-2</v>
      </c>
      <c r="J153" s="384">
        <f>VLOOKUP($A153,'8.Non-elective admissions - CCG'!$D$5:$N$215,3,0)*$H153</f>
        <v>97.775307356857354</v>
      </c>
      <c r="K153" s="384">
        <f>VLOOKUP($A153,'8.Non-elective admissions - CCG'!$D$5:$N$215,4,0)*$H153</f>
        <v>90.462614390314144</v>
      </c>
      <c r="L153" s="384">
        <f>VLOOKUP($A153,'8.Non-elective admissions - CCG'!$D$5:$N$215,5,0)*$H153</f>
        <v>98.3378222004376</v>
      </c>
      <c r="M153" s="384">
        <f>VLOOKUP($A153,'8.Non-elective admissions - CCG'!$D$5:$N$215,6,0)*$H153</f>
        <v>90.258063538103144</v>
      </c>
      <c r="N153" s="384">
        <f>VLOOKUP($A153,'8.Non-elective admissions - CCG'!$D$5:$N$215,7,0)*$H153</f>
        <v>102.38723048498562</v>
      </c>
      <c r="O153" s="384">
        <f>VLOOKUP($A153,'8.Non-elective admissions - CCG'!$D$5:$N$215,8,0)*$H153</f>
        <v>100.02077672179061</v>
      </c>
      <c r="P153" s="384">
        <f>VLOOKUP($A153,'8.Non-elective admissions - CCG'!$D$5:$N$215,9,0)*$H153</f>
        <v>99.546234042507976</v>
      </c>
      <c r="Q153" s="384">
        <f>VLOOKUP($A153,'8.Non-elective admissions - CCG'!$D$5:$N$215,10,0)*$H153</f>
        <v>90.494464008116353</v>
      </c>
      <c r="R153" s="384">
        <f>VLOOKUP($A153,'8.Non-elective admissions - CCG'!$D$5:$Q$215,11,0)*$H153</f>
        <v>101.45352953280847</v>
      </c>
      <c r="S153" s="384">
        <f>VLOOKUP($A153,'8.Non-elective admissions - CCG'!$D$5:$Q$215,12,0)*$H153</f>
        <v>98.960961388880065</v>
      </c>
      <c r="T153" s="384">
        <f>VLOOKUP($A153,'8.Non-elective admissions - CCG'!$D$5:$Q$215,13,0)*$H153</f>
        <v>98.539593703114235</v>
      </c>
      <c r="U153" s="384">
        <f>VLOOKUP($A153,'8.Non-elective admissions - CCG'!$D$5:$Q$215,14,0)*$H153</f>
        <v>89.343002849962346</v>
      </c>
    </row>
    <row r="154" spans="1:21">
      <c r="A154" s="395" t="s">
        <v>134</v>
      </c>
      <c r="B154" s="395" t="s">
        <v>133</v>
      </c>
      <c r="C154" s="395" t="s">
        <v>710</v>
      </c>
      <c r="D154" s="395" t="s">
        <v>245</v>
      </c>
      <c r="E154" s="537">
        <f>COUNTIF($D$5:D154,D154)</f>
        <v>2</v>
      </c>
      <c r="F154" s="537" t="str">
        <f t="shared" si="4"/>
        <v>Islington2</v>
      </c>
      <c r="G154" s="541" t="str">
        <f t="shared" si="5"/>
        <v>NHS Central London (Westminster) CCG</v>
      </c>
      <c r="H154" s="546">
        <v>3.784797141947579E-3</v>
      </c>
      <c r="I154" s="546">
        <v>3.2285178559882752E-3</v>
      </c>
      <c r="J154" s="384">
        <f>VLOOKUP($A154,'8.Non-elective admissions - CCG'!$D$5:$N$215,3,0)*$H154</f>
        <v>14.473064270807543</v>
      </c>
      <c r="K154" s="384">
        <f>VLOOKUP($A154,'8.Non-elective admissions - CCG'!$D$5:$N$215,4,0)*$H154</f>
        <v>13.390612288210535</v>
      </c>
      <c r="L154" s="384">
        <f>VLOOKUP($A154,'8.Non-elective admissions - CCG'!$D$5:$N$215,5,0)*$H154</f>
        <v>14.556329807930389</v>
      </c>
      <c r="M154" s="384">
        <f>VLOOKUP($A154,'8.Non-elective admissions - CCG'!$D$5:$N$215,6,0)*$H154</f>
        <v>13.360333911074955</v>
      </c>
      <c r="N154" s="384">
        <f>VLOOKUP($A154,'8.Non-elective admissions - CCG'!$D$5:$N$215,7,0)*$H154</f>
        <v>15.155738267441549</v>
      </c>
      <c r="O154" s="384">
        <f>VLOOKUP($A154,'8.Non-elective admissions - CCG'!$D$5:$N$215,8,0)*$H154</f>
        <v>14.805446989055568</v>
      </c>
      <c r="P154" s="384">
        <f>VLOOKUP($A154,'8.Non-elective admissions - CCG'!$D$5:$N$215,9,0)*$H154</f>
        <v>14.735203418545154</v>
      </c>
      <c r="Q154" s="384">
        <f>VLOOKUP($A154,'8.Non-elective admissions - CCG'!$D$5:$N$215,10,0)*$H154</f>
        <v>13.395326786972165</v>
      </c>
      <c r="R154" s="384">
        <f>VLOOKUP($A154,'8.Non-elective admissions - CCG'!$D$5:$Q$215,11,0)*$H154</f>
        <v>15.017528383413747</v>
      </c>
      <c r="S154" s="384">
        <f>VLOOKUP($A154,'8.Non-elective admissions - CCG'!$D$5:$Q$215,12,0)*$H154</f>
        <v>14.648569185824343</v>
      </c>
      <c r="T154" s="384">
        <f>VLOOKUP($A154,'8.Non-elective admissions - CCG'!$D$5:$Q$215,13,0)*$H154</f>
        <v>14.586196775421458</v>
      </c>
      <c r="U154" s="384">
        <f>VLOOKUP($A154,'8.Non-elective admissions - CCG'!$D$5:$Q$215,14,0)*$H154</f>
        <v>13.224883228186128</v>
      </c>
    </row>
    <row r="155" spans="1:21">
      <c r="A155" s="395" t="s">
        <v>134</v>
      </c>
      <c r="B155" s="395" t="s">
        <v>133</v>
      </c>
      <c r="C155" s="395" t="s">
        <v>711</v>
      </c>
      <c r="D155" s="395" t="s">
        <v>248</v>
      </c>
      <c r="E155" s="537">
        <f>COUNTIF($D$5:D155,D155)</f>
        <v>3</v>
      </c>
      <c r="F155" s="537" t="str">
        <f t="shared" si="4"/>
        <v>Kensington and Chelsea3</v>
      </c>
      <c r="G155" s="541" t="str">
        <f t="shared" si="5"/>
        <v>NHS Central London (Westminster) CCG</v>
      </c>
      <c r="H155" s="546">
        <v>4.0849532837789353E-2</v>
      </c>
      <c r="I155" s="546">
        <v>5.040811618060622E-2</v>
      </c>
      <c r="J155" s="384">
        <f>VLOOKUP($A155,'8.Non-elective admissions - CCG'!$D$5:$N$215,3,0)*$H155</f>
        <v>156.20861357170648</v>
      </c>
      <c r="K155" s="384">
        <f>VLOOKUP($A155,'8.Non-elective admissions - CCG'!$D$5:$N$215,4,0)*$H155</f>
        <v>144.52564718009873</v>
      </c>
      <c r="L155" s="384">
        <f>VLOOKUP($A155,'8.Non-elective admissions - CCG'!$D$5:$N$215,5,0)*$H155</f>
        <v>157.10730329413786</v>
      </c>
      <c r="M155" s="384">
        <f>VLOOKUP($A155,'8.Non-elective admissions - CCG'!$D$5:$N$215,6,0)*$H155</f>
        <v>144.19885091739641</v>
      </c>
      <c r="N155" s="384">
        <f>VLOOKUP($A155,'8.Non-elective admissions - CCG'!$D$5:$N$215,7,0)*$H155</f>
        <v>163.57675320960945</v>
      </c>
      <c r="O155" s="384">
        <f>VLOOKUP($A155,'8.Non-elective admissions - CCG'!$D$5:$N$215,8,0)*$H155</f>
        <v>159.79603933180934</v>
      </c>
      <c r="P155" s="384">
        <f>VLOOKUP($A155,'8.Non-elective admissions - CCG'!$D$5:$N$215,9,0)*$H155</f>
        <v>159.03789644261551</v>
      </c>
      <c r="Q155" s="384">
        <f>VLOOKUP($A155,'8.Non-elective admissions - CCG'!$D$5:$N$215,10,0)*$H155</f>
        <v>144.5765310358918</v>
      </c>
      <c r="R155" s="384">
        <f>VLOOKUP($A155,'8.Non-elective admissions - CCG'!$D$5:$Q$215,11,0)*$H155</f>
        <v>162.08504599668453</v>
      </c>
      <c r="S155" s="384">
        <f>VLOOKUP($A155,'8.Non-elective admissions - CCG'!$D$5:$Q$215,12,0)*$H155</f>
        <v>158.1028481951989</v>
      </c>
      <c r="T155" s="384">
        <f>VLOOKUP($A155,'8.Non-elective admissions - CCG'!$D$5:$Q$215,13,0)*$H155</f>
        <v>157.42965918892796</v>
      </c>
      <c r="U155" s="384">
        <f>VLOOKUP($A155,'8.Non-elective admissions - CCG'!$D$5:$Q$215,14,0)*$H155</f>
        <v>142.7369239207699</v>
      </c>
    </row>
    <row r="156" spans="1:21">
      <c r="A156" s="395" t="s">
        <v>134</v>
      </c>
      <c r="B156" s="395" t="s">
        <v>133</v>
      </c>
      <c r="C156" s="395" t="s">
        <v>717</v>
      </c>
      <c r="D156" s="395" t="s">
        <v>267</v>
      </c>
      <c r="E156" s="537">
        <f>COUNTIF($D$5:D156,D156)</f>
        <v>1</v>
      </c>
      <c r="F156" s="537" t="str">
        <f t="shared" si="4"/>
        <v>Lambeth1</v>
      </c>
      <c r="G156" s="541" t="str">
        <f t="shared" si="5"/>
        <v>NHS Central London (Westminster) CCG</v>
      </c>
      <c r="H156" s="546">
        <v>6.3315765271833328E-3</v>
      </c>
      <c r="I156" s="546">
        <v>3.5931818442514829E-3</v>
      </c>
      <c r="J156" s="384">
        <f>VLOOKUP($A156,'8.Non-elective admissions - CCG'!$D$5:$N$215,3,0)*$H156</f>
        <v>24.211948639949064</v>
      </c>
      <c r="K156" s="384">
        <f>VLOOKUP($A156,'8.Non-elective admissions - CCG'!$D$5:$N$215,4,0)*$H156</f>
        <v>22.401117753174631</v>
      </c>
      <c r="L156" s="384">
        <f>VLOOKUP($A156,'8.Non-elective admissions - CCG'!$D$5:$N$215,5,0)*$H156</f>
        <v>24.351243323547099</v>
      </c>
      <c r="M156" s="384">
        <f>VLOOKUP($A156,'8.Non-elective admissions - CCG'!$D$5:$N$215,6,0)*$H156</f>
        <v>22.350465140957166</v>
      </c>
      <c r="N156" s="384">
        <f>VLOOKUP($A156,'8.Non-elective admissions - CCG'!$D$5:$N$215,7,0)*$H156</f>
        <v>25.353992054878852</v>
      </c>
      <c r="O156" s="384">
        <f>VLOOKUP($A156,'8.Non-elective admissions - CCG'!$D$5:$N$215,8,0)*$H156</f>
        <v>24.767990757392024</v>
      </c>
      <c r="P156" s="384">
        <f>VLOOKUP($A156,'8.Non-elective admissions - CCG'!$D$5:$N$215,9,0)*$H156</f>
        <v>24.650480485229743</v>
      </c>
      <c r="Q156" s="384">
        <f>VLOOKUP($A156,'8.Non-elective admissions - CCG'!$D$5:$N$215,10,0)*$H156</f>
        <v>22.409004624934742</v>
      </c>
      <c r="R156" s="384">
        <f>VLOOKUP($A156,'8.Non-elective admissions - CCG'!$D$5:$Q$215,11,0)*$H156</f>
        <v>25.12278112739309</v>
      </c>
      <c r="S156" s="384">
        <f>VLOOKUP($A156,'8.Non-elective admissions - CCG'!$D$5:$Q$215,12,0)*$H156</f>
        <v>24.505550320210816</v>
      </c>
      <c r="T156" s="384">
        <f>VLOOKUP($A156,'8.Non-elective admissions - CCG'!$D$5:$Q$215,13,0)*$H156</f>
        <v>24.401207689723744</v>
      </c>
      <c r="U156" s="384">
        <f>VLOOKUP($A156,'8.Non-elective admissions - CCG'!$D$5:$Q$215,14,0)*$H156</f>
        <v>22.123870073320717</v>
      </c>
    </row>
    <row r="157" spans="1:21">
      <c r="A157" s="395" t="s">
        <v>134</v>
      </c>
      <c r="B157" s="395" t="s">
        <v>133</v>
      </c>
      <c r="C157" s="395" t="s">
        <v>722</v>
      </c>
      <c r="D157" s="395" t="s">
        <v>282</v>
      </c>
      <c r="E157" s="537">
        <f>COUNTIF($D$5:D157,D157)</f>
        <v>2</v>
      </c>
      <c r="F157" s="537" t="str">
        <f t="shared" si="4"/>
        <v>Lewisham2</v>
      </c>
      <c r="G157" s="541" t="str">
        <f t="shared" si="5"/>
        <v>NHS Central London (Westminster) CCG</v>
      </c>
      <c r="H157" s="546">
        <v>1.2076989545066372E-3</v>
      </c>
      <c r="I157" s="546">
        <v>0</v>
      </c>
      <c r="J157" s="384">
        <f>VLOOKUP($A157,'8.Non-elective admissions - CCG'!$D$5:$N$215,3,0)*$H157</f>
        <v>4.6182408020333812</v>
      </c>
      <c r="K157" s="384">
        <f>VLOOKUP($A157,'8.Non-elective admissions - CCG'!$D$5:$N$215,4,0)*$H157</f>
        <v>4.2728389010444827</v>
      </c>
      <c r="L157" s="384">
        <f>VLOOKUP($A157,'8.Non-elective admissions - CCG'!$D$5:$N$215,5,0)*$H157</f>
        <v>4.6448101790325271</v>
      </c>
      <c r="M157" s="384">
        <f>VLOOKUP($A157,'8.Non-elective admissions - CCG'!$D$5:$N$215,6,0)*$H157</f>
        <v>4.2631773094084293</v>
      </c>
      <c r="N157" s="384">
        <f>VLOOKUP($A157,'8.Non-elective admissions - CCG'!$D$5:$N$215,7,0)*$H157</f>
        <v>4.8360766968204674</v>
      </c>
      <c r="O157" s="384">
        <f>VLOOKUP($A157,'8.Non-elective admissions - CCG'!$D$5:$N$215,8,0)*$H157</f>
        <v>4.7243015091912959</v>
      </c>
      <c r="P157" s="384">
        <f>VLOOKUP($A157,'8.Non-elective admissions - CCG'!$D$5:$N$215,9,0)*$H157</f>
        <v>4.7018873391619378</v>
      </c>
      <c r="Q157" s="384">
        <f>VLOOKUP($A157,'8.Non-elective admissions - CCG'!$D$5:$N$215,10,0)*$H157</f>
        <v>4.2743432604624125</v>
      </c>
      <c r="R157" s="384">
        <f>VLOOKUP($A157,'8.Non-elective admissions - CCG'!$D$5:$Q$215,11,0)*$H157</f>
        <v>4.7919750115298871</v>
      </c>
      <c r="S157" s="384">
        <f>VLOOKUP($A157,'8.Non-elective admissions - CCG'!$D$5:$Q$215,12,0)*$H157</f>
        <v>4.6742430379332678</v>
      </c>
      <c r="T157" s="384">
        <f>VLOOKUP($A157,'8.Non-elective admissions - CCG'!$D$5:$Q$215,13,0)*$H157</f>
        <v>4.6543404930917598</v>
      </c>
      <c r="U157" s="384">
        <f>VLOOKUP($A157,'8.Non-elective admissions - CCG'!$D$5:$Q$215,14,0)*$H157</f>
        <v>4.2199560634666016</v>
      </c>
    </row>
    <row r="158" spans="1:21">
      <c r="A158" s="395" t="s">
        <v>134</v>
      </c>
      <c r="B158" s="395" t="s">
        <v>133</v>
      </c>
      <c r="C158" s="395" t="s">
        <v>767</v>
      </c>
      <c r="D158" s="395" t="s">
        <v>417</v>
      </c>
      <c r="E158" s="537">
        <f>COUNTIF($D$5:D158,D158)</f>
        <v>2</v>
      </c>
      <c r="F158" s="537" t="str">
        <f t="shared" si="4"/>
        <v>Southwark2</v>
      </c>
      <c r="G158" s="541" t="str">
        <f t="shared" si="5"/>
        <v>NHS Central London (Westminster) CCG</v>
      </c>
      <c r="H158" s="546">
        <v>1.6089177703552858E-2</v>
      </c>
      <c r="I158" s="546">
        <v>9.8502965298123048E-3</v>
      </c>
      <c r="J158" s="384">
        <f>VLOOKUP($A158,'8.Non-elective admissions - CCG'!$D$5:$N$215,3,0)*$H158</f>
        <v>61.525015538386128</v>
      </c>
      <c r="K158" s="384">
        <f>VLOOKUP($A158,'8.Non-elective admissions - CCG'!$D$5:$N$215,4,0)*$H158</f>
        <v>56.923510715170011</v>
      </c>
      <c r="L158" s="384">
        <f>VLOOKUP($A158,'8.Non-elective admissions - CCG'!$D$5:$N$215,5,0)*$H158</f>
        <v>61.878977447864294</v>
      </c>
      <c r="M158" s="384">
        <f>VLOOKUP($A158,'8.Non-elective admissions - CCG'!$D$5:$N$215,6,0)*$H158</f>
        <v>56.794797293541592</v>
      </c>
      <c r="N158" s="384">
        <f>VLOOKUP($A158,'8.Non-elective admissions - CCG'!$D$5:$N$215,7,0)*$H158</f>
        <v>64.427063609524552</v>
      </c>
      <c r="O158" s="384">
        <f>VLOOKUP($A158,'8.Non-elective admissions - CCG'!$D$5:$N$215,8,0)*$H158</f>
        <v>62.937974917427141</v>
      </c>
      <c r="P158" s="384">
        <f>VLOOKUP($A158,'8.Non-elective admissions - CCG'!$D$5:$N$215,9,0)*$H158</f>
        <v>62.639369405404224</v>
      </c>
      <c r="Q158" s="384">
        <f>VLOOKUP($A158,'8.Non-elective admissions - CCG'!$D$5:$N$215,10,0)*$H158</f>
        <v>56.943552055700096</v>
      </c>
      <c r="R158" s="384">
        <f>VLOOKUP($A158,'8.Non-elective admissions - CCG'!$D$5:$Q$215,11,0)*$H158</f>
        <v>63.839533207996482</v>
      </c>
      <c r="S158" s="384">
        <f>VLOOKUP($A158,'8.Non-elective admissions - CCG'!$D$5:$Q$215,12,0)*$H158</f>
        <v>62.271087166441525</v>
      </c>
      <c r="T158" s="384">
        <f>VLOOKUP($A158,'8.Non-elective admissions - CCG'!$D$5:$Q$215,13,0)*$H158</f>
        <v>62.005941966544619</v>
      </c>
      <c r="U158" s="384">
        <f>VLOOKUP($A158,'8.Non-elective admissions - CCG'!$D$5:$Q$215,14,0)*$H158</f>
        <v>56.218996259739157</v>
      </c>
    </row>
    <row r="159" spans="1:21">
      <c r="A159" s="395" t="s">
        <v>134</v>
      </c>
      <c r="B159" s="395" t="s">
        <v>133</v>
      </c>
      <c r="C159" s="395" t="s">
        <v>782</v>
      </c>
      <c r="D159" s="395" t="s">
        <v>462</v>
      </c>
      <c r="E159" s="537">
        <f>COUNTIF($D$5:D159,D159)</f>
        <v>2</v>
      </c>
      <c r="F159" s="537" t="str">
        <f t="shared" si="4"/>
        <v>Tower Hamlets2</v>
      </c>
      <c r="G159" s="541" t="str">
        <f t="shared" si="5"/>
        <v>NHS Central London (Westminster) CCG</v>
      </c>
      <c r="H159" s="546">
        <v>2.7236390647660145E-3</v>
      </c>
      <c r="I159" s="546">
        <v>1.8580760811486288E-3</v>
      </c>
      <c r="J159" s="384">
        <f>VLOOKUP($A159,'8.Non-elective admissions - CCG'!$D$5:$N$215,3,0)*$H159</f>
        <v>10.41519578366524</v>
      </c>
      <c r="K159" s="384">
        <f>VLOOKUP($A159,'8.Non-elective admissions - CCG'!$D$5:$N$215,4,0)*$H159</f>
        <v>9.6362350111421602</v>
      </c>
      <c r="L159" s="384">
        <f>VLOOKUP($A159,'8.Non-elective admissions - CCG'!$D$5:$N$215,5,0)*$H159</f>
        <v>10.475115843090093</v>
      </c>
      <c r="M159" s="384">
        <f>VLOOKUP($A159,'8.Non-elective admissions - CCG'!$D$5:$N$215,6,0)*$H159</f>
        <v>9.614445898624032</v>
      </c>
      <c r="N159" s="384">
        <f>VLOOKUP($A159,'8.Non-elective admissions - CCG'!$D$5:$N$215,7,0)*$H159</f>
        <v>10.906465856009339</v>
      </c>
      <c r="O159" s="384">
        <f>VLOOKUP($A159,'8.Non-elective admissions - CCG'!$D$5:$N$215,8,0)*$H159</f>
        <v>10.654387085582044</v>
      </c>
      <c r="P159" s="384">
        <f>VLOOKUP($A159,'8.Non-elective admissions - CCG'!$D$5:$N$215,9,0)*$H159</f>
        <v>10.60383797409324</v>
      </c>
      <c r="Q159" s="384">
        <f>VLOOKUP($A159,'8.Non-elective admissions - CCG'!$D$5:$N$215,10,0)*$H159</f>
        <v>9.6396276878210898</v>
      </c>
      <c r="R159" s="384">
        <f>VLOOKUP($A159,'8.Non-elective admissions - CCG'!$D$5:$Q$215,11,0)*$H159</f>
        <v>10.807006406755686</v>
      </c>
      <c r="S159" s="384">
        <f>VLOOKUP($A159,'8.Non-elective admissions - CCG'!$D$5:$Q$215,12,0)*$H159</f>
        <v>10.541493713163311</v>
      </c>
      <c r="T159" s="384">
        <f>VLOOKUP($A159,'8.Non-elective admissions - CCG'!$D$5:$Q$215,13,0)*$H159</f>
        <v>10.496608894462168</v>
      </c>
      <c r="U159" s="384">
        <f>VLOOKUP($A159,'8.Non-elective admissions - CCG'!$D$5:$Q$215,14,0)*$H159</f>
        <v>9.5169720427133804</v>
      </c>
    </row>
    <row r="160" spans="1:21">
      <c r="A160" s="395" t="s">
        <v>134</v>
      </c>
      <c r="B160" s="395" t="s">
        <v>133</v>
      </c>
      <c r="C160" s="395" t="s">
        <v>787</v>
      </c>
      <c r="D160" s="395" t="s">
        <v>477</v>
      </c>
      <c r="E160" s="537">
        <f>COUNTIF($D$5:D160,D160)</f>
        <v>1</v>
      </c>
      <c r="F160" s="537" t="str">
        <f t="shared" si="4"/>
        <v>Wandsworth1</v>
      </c>
      <c r="G160" s="541" t="str">
        <f t="shared" si="5"/>
        <v>NHS Central London (Westminster) CCG</v>
      </c>
      <c r="H160" s="546">
        <v>6.700455287346448E-3</v>
      </c>
      <c r="I160" s="546">
        <v>3.7904124860646607E-3</v>
      </c>
      <c r="J160" s="384">
        <f>VLOOKUP($A160,'8.Non-elective admissions - CCG'!$D$5:$N$215,3,0)*$H160</f>
        <v>25.622541018812818</v>
      </c>
      <c r="K160" s="384">
        <f>VLOOKUP($A160,'8.Non-elective admissions - CCG'!$D$5:$N$215,4,0)*$H160</f>
        <v>23.706210806631734</v>
      </c>
      <c r="L160" s="384">
        <f>VLOOKUP($A160,'8.Non-elective admissions - CCG'!$D$5:$N$215,5,0)*$H160</f>
        <v>25.76995103513444</v>
      </c>
      <c r="M160" s="384">
        <f>VLOOKUP($A160,'8.Non-elective admissions - CCG'!$D$5:$N$215,6,0)*$H160</f>
        <v>23.652607164332963</v>
      </c>
      <c r="N160" s="384">
        <f>VLOOKUP($A160,'8.Non-elective admissions - CCG'!$D$5:$N$215,7,0)*$H160</f>
        <v>26.831120083614813</v>
      </c>
      <c r="O160" s="384">
        <f>VLOOKUP($A160,'8.Non-elective admissions - CCG'!$D$5:$N$215,8,0)*$H160</f>
        <v>26.210978247647105</v>
      </c>
      <c r="P160" s="384">
        <f>VLOOKUP($A160,'8.Non-elective admissions - CCG'!$D$5:$N$215,9,0)*$H160</f>
        <v>26.086621806396359</v>
      </c>
      <c r="Q160" s="384">
        <f>VLOOKUP($A160,'8.Non-elective admissions - CCG'!$D$5:$N$215,10,0)*$H160</f>
        <v>23.714557168925353</v>
      </c>
      <c r="R160" s="384">
        <f>VLOOKUP($A160,'8.Non-elective admissions - CCG'!$D$5:$Q$215,11,0)*$H160</f>
        <v>26.586438766898034</v>
      </c>
      <c r="S160" s="384">
        <f>VLOOKUP($A160,'8.Non-elective admissions - CCG'!$D$5:$Q$215,12,0)*$H160</f>
        <v>25.933247984516793</v>
      </c>
      <c r="T160" s="384">
        <f>VLOOKUP($A160,'8.Non-elective admissions - CCG'!$D$5:$Q$215,13,0)*$H160</f>
        <v>25.822826334057211</v>
      </c>
      <c r="U160" s="384">
        <f>VLOOKUP($A160,'8.Non-elective admissions - CCG'!$D$5:$Q$215,14,0)*$H160</f>
        <v>23.412810628270769</v>
      </c>
    </row>
    <row r="161" spans="1:21">
      <c r="A161" s="395" t="s">
        <v>134</v>
      </c>
      <c r="B161" s="395" t="s">
        <v>133</v>
      </c>
      <c r="C161" s="395" t="s">
        <v>792</v>
      </c>
      <c r="D161" s="395" t="s">
        <v>492</v>
      </c>
      <c r="E161" s="537">
        <f>COUNTIF($D$5:D161,D161)</f>
        <v>3</v>
      </c>
      <c r="F161" s="537" t="str">
        <f t="shared" si="4"/>
        <v>Westminster3</v>
      </c>
      <c r="G161" s="541" t="str">
        <f t="shared" si="5"/>
        <v>NHS Central London (Westminster) CCG</v>
      </c>
      <c r="H161" s="546">
        <v>0.81649544965310239</v>
      </c>
      <c r="I161" s="546">
        <v>0.6907722890793665</v>
      </c>
      <c r="J161" s="384">
        <f>VLOOKUP($A161,'8.Non-elective admissions - CCG'!$D$5:$N$215,3,0)*$H161</f>
        <v>3122.2785994734636</v>
      </c>
      <c r="K161" s="384">
        <f>VLOOKUP($A161,'8.Non-elective admissions - CCG'!$D$5:$N$215,4,0)*$H161</f>
        <v>2888.7609008726763</v>
      </c>
      <c r="L161" s="384">
        <f>VLOOKUP($A161,'8.Non-elective admissions - CCG'!$D$5:$N$215,5,0)*$H161</f>
        <v>3140.2414993658317</v>
      </c>
      <c r="M161" s="384">
        <f>VLOOKUP($A161,'8.Non-elective admissions - CCG'!$D$5:$N$215,6,0)*$H161</f>
        <v>2882.2289372754512</v>
      </c>
      <c r="N161" s="384">
        <f>VLOOKUP($A161,'8.Non-elective admissions - CCG'!$D$5:$N$215,7,0)*$H161</f>
        <v>3269.5520704001874</v>
      </c>
      <c r="O161" s="384">
        <f>VLOOKUP($A161,'8.Non-elective admissions - CCG'!$D$5:$N$215,8,0)*$H161</f>
        <v>3193.9836253478998</v>
      </c>
      <c r="P161" s="384">
        <f>VLOOKUP($A161,'8.Non-elective admissions - CCG'!$D$5:$N$215,9,0)*$H161</f>
        <v>3178.8299583115659</v>
      </c>
      <c r="Q161" s="384">
        <f>VLOOKUP($A161,'8.Non-elective admissions - CCG'!$D$5:$N$215,10,0)*$H161</f>
        <v>2889.777961138233</v>
      </c>
      <c r="R161" s="384">
        <f>VLOOKUP($A161,'8.Non-elective admissions - CCG'!$D$5:$Q$215,11,0)*$H161</f>
        <v>3239.7360096779171</v>
      </c>
      <c r="S161" s="384">
        <f>VLOOKUP($A161,'8.Non-elective admissions - CCG'!$D$5:$Q$215,12,0)*$H161</f>
        <v>3160.1403286834029</v>
      </c>
      <c r="T161" s="384">
        <f>VLOOKUP($A161,'8.Non-elective admissions - CCG'!$D$5:$Q$215,13,0)*$H161</f>
        <v>3146.6847094341119</v>
      </c>
      <c r="U161" s="384">
        <f>VLOOKUP($A161,'8.Non-elective admissions - CCG'!$D$5:$Q$215,14,0)*$H161</f>
        <v>2853.0081198621774</v>
      </c>
    </row>
    <row r="162" spans="1:21">
      <c r="A162" s="395" t="s">
        <v>138</v>
      </c>
      <c r="B162" s="395" t="s">
        <v>137</v>
      </c>
      <c r="C162" s="395" t="s">
        <v>726</v>
      </c>
      <c r="D162" s="395" t="s">
        <v>294</v>
      </c>
      <c r="E162" s="537">
        <f>COUNTIF($D$5:D162,D162)</f>
        <v>2</v>
      </c>
      <c r="F162" s="537" t="str">
        <f t="shared" si="4"/>
        <v>Manchester2</v>
      </c>
      <c r="G162" s="541" t="str">
        <f t="shared" si="5"/>
        <v>NHS Central Manchester CCG</v>
      </c>
      <c r="H162" s="546">
        <v>0.93663621619373705</v>
      </c>
      <c r="I162" s="546">
        <v>0.3663128904534636</v>
      </c>
      <c r="J162" s="384">
        <f>VLOOKUP($A162,'8.Non-elective admissions - CCG'!$D$5:$N$215,3,0)*$H162</f>
        <v>4944.5025852867375</v>
      </c>
      <c r="K162" s="384">
        <f>VLOOKUP($A162,'8.Non-elective admissions - CCG'!$D$5:$N$215,4,0)*$H162</f>
        <v>4766.541704209928</v>
      </c>
      <c r="L162" s="384">
        <f>VLOOKUP($A162,'8.Non-elective admissions - CCG'!$D$5:$N$215,5,0)*$H162</f>
        <v>5077.5049279862487</v>
      </c>
      <c r="M162" s="384">
        <f>VLOOKUP($A162,'8.Non-elective admissions - CCG'!$D$5:$N$215,6,0)*$H162</f>
        <v>5090.6178350129612</v>
      </c>
      <c r="N162" s="384">
        <f>VLOOKUP($A162,'8.Non-elective admissions - CCG'!$D$5:$N$215,7,0)*$H162</f>
        <v>4903.2905917742137</v>
      </c>
      <c r="O162" s="384">
        <f>VLOOKUP($A162,'8.Non-elective admissions - CCG'!$D$5:$N$215,8,0)*$H162</f>
        <v>4784.3377923176085</v>
      </c>
      <c r="P162" s="384">
        <f>VLOOKUP($A162,'8.Non-elective admissions - CCG'!$D$5:$N$215,9,0)*$H162</f>
        <v>5075.6316555538615</v>
      </c>
      <c r="Q162" s="384">
        <f>VLOOKUP($A162,'8.Non-elective admissions - CCG'!$D$5:$N$215,10,0)*$H162</f>
        <v>4954.8055836648691</v>
      </c>
      <c r="R162" s="384">
        <f>VLOOKUP($A162,'8.Non-elective admissions - CCG'!$D$5:$Q$215,11,0)*$H162</f>
        <v>4508.9667447566499</v>
      </c>
      <c r="S162" s="384">
        <f>VLOOKUP($A162,'8.Non-elective admissions - CCG'!$D$5:$Q$215,12,0)*$H162</f>
        <v>4405.0001247591454</v>
      </c>
      <c r="T162" s="384">
        <f>VLOOKUP($A162,'8.Non-elective admissions - CCG'!$D$5:$Q$215,13,0)*$H162</f>
        <v>4671.9414463743606</v>
      </c>
      <c r="U162" s="384">
        <f>VLOOKUP($A162,'8.Non-elective admissions - CCG'!$D$5:$Q$215,14,0)*$H162</f>
        <v>4553.92528313395</v>
      </c>
    </row>
    <row r="163" spans="1:21">
      <c r="A163" s="395" t="s">
        <v>138</v>
      </c>
      <c r="B163" s="395" t="s">
        <v>137</v>
      </c>
      <c r="C163" s="395" t="s">
        <v>755</v>
      </c>
      <c r="D163" s="395" t="s">
        <v>381</v>
      </c>
      <c r="E163" s="537">
        <f>COUNTIF($D$5:D163,D163)</f>
        <v>3</v>
      </c>
      <c r="F163" s="537" t="str">
        <f t="shared" si="4"/>
        <v>Salford3</v>
      </c>
      <c r="G163" s="541" t="str">
        <f t="shared" si="5"/>
        <v>NHS Central Manchester CCG</v>
      </c>
      <c r="H163" s="546">
        <v>2.2780095833506609E-3</v>
      </c>
      <c r="I163" s="546">
        <v>1.9646913481847529E-3</v>
      </c>
      <c r="J163" s="384">
        <f>VLOOKUP($A163,'8.Non-elective admissions - CCG'!$D$5:$N$215,3,0)*$H163</f>
        <v>12.025612590508139</v>
      </c>
      <c r="K163" s="384">
        <f>VLOOKUP($A163,'8.Non-elective admissions - CCG'!$D$5:$N$215,4,0)*$H163</f>
        <v>11.592790769671513</v>
      </c>
      <c r="L163" s="384">
        <f>VLOOKUP($A163,'8.Non-elective admissions - CCG'!$D$5:$N$215,5,0)*$H163</f>
        <v>12.349089951343933</v>
      </c>
      <c r="M163" s="384">
        <f>VLOOKUP($A163,'8.Non-elective admissions - CCG'!$D$5:$N$215,6,0)*$H163</f>
        <v>12.380982085510842</v>
      </c>
      <c r="N163" s="384">
        <f>VLOOKUP($A163,'8.Non-elective admissions - CCG'!$D$5:$N$215,7,0)*$H163</f>
        <v>11.925380168840709</v>
      </c>
      <c r="O163" s="384">
        <f>VLOOKUP($A163,'8.Non-elective admissions - CCG'!$D$5:$N$215,8,0)*$H163</f>
        <v>11.636072951755176</v>
      </c>
      <c r="P163" s="384">
        <f>VLOOKUP($A163,'8.Non-elective admissions - CCG'!$D$5:$N$215,9,0)*$H163</f>
        <v>12.344533932177232</v>
      </c>
      <c r="Q163" s="384">
        <f>VLOOKUP($A163,'8.Non-elective admissions - CCG'!$D$5:$N$215,10,0)*$H163</f>
        <v>12.050670695924996</v>
      </c>
      <c r="R163" s="384">
        <f>VLOOKUP($A163,'8.Non-elective admissions - CCG'!$D$5:$Q$215,11,0)*$H163</f>
        <v>10.966338134250082</v>
      </c>
      <c r="S163" s="384">
        <f>VLOOKUP($A163,'8.Non-elective admissions - CCG'!$D$5:$Q$215,12,0)*$H163</f>
        <v>10.713479070498158</v>
      </c>
      <c r="T163" s="384">
        <f>VLOOKUP($A163,'8.Non-elective admissions - CCG'!$D$5:$Q$215,13,0)*$H163</f>
        <v>11.362711801753097</v>
      </c>
      <c r="U163" s="384">
        <f>VLOOKUP($A163,'8.Non-elective admissions - CCG'!$D$5:$Q$215,14,0)*$H163</f>
        <v>11.075682594250914</v>
      </c>
    </row>
    <row r="164" spans="1:21">
      <c r="A164" s="395" t="s">
        <v>138</v>
      </c>
      <c r="B164" s="395" t="s">
        <v>137</v>
      </c>
      <c r="C164" s="395" t="s">
        <v>770</v>
      </c>
      <c r="D164" s="395" t="s">
        <v>426</v>
      </c>
      <c r="E164" s="537">
        <f>COUNTIF($D$5:D164,D164)</f>
        <v>1</v>
      </c>
      <c r="F164" s="537" t="str">
        <f t="shared" si="4"/>
        <v>Stockport1</v>
      </c>
      <c r="G164" s="541" t="str">
        <f t="shared" si="5"/>
        <v>NHS Central Manchester CCG</v>
      </c>
      <c r="H164" s="546">
        <v>8.4605183511461662E-3</v>
      </c>
      <c r="I164" s="546">
        <v>6.1087293776168946E-3</v>
      </c>
      <c r="J164" s="384">
        <f>VLOOKUP($A164,'8.Non-elective admissions - CCG'!$D$5:$N$215,3,0)*$H164</f>
        <v>44.663076375700612</v>
      </c>
      <c r="K164" s="384">
        <f>VLOOKUP($A164,'8.Non-elective admissions - CCG'!$D$5:$N$215,4,0)*$H164</f>
        <v>43.055577888982839</v>
      </c>
      <c r="L164" s="384">
        <f>VLOOKUP($A164,'8.Non-elective admissions - CCG'!$D$5:$N$215,5,0)*$H164</f>
        <v>45.864469981563367</v>
      </c>
      <c r="M164" s="384">
        <f>VLOOKUP($A164,'8.Non-elective admissions - CCG'!$D$5:$N$215,6,0)*$H164</f>
        <v>45.982917238479416</v>
      </c>
      <c r="N164" s="384">
        <f>VLOOKUP($A164,'8.Non-elective admissions - CCG'!$D$5:$N$215,7,0)*$H164</f>
        <v>44.290813568250179</v>
      </c>
      <c r="O164" s="384">
        <f>VLOOKUP($A164,'8.Non-elective admissions - CCG'!$D$5:$N$215,8,0)*$H164</f>
        <v>43.216327737654616</v>
      </c>
      <c r="P164" s="384">
        <f>VLOOKUP($A164,'8.Non-elective admissions - CCG'!$D$5:$N$215,9,0)*$H164</f>
        <v>45.847548944861074</v>
      </c>
      <c r="Q164" s="384">
        <f>VLOOKUP($A164,'8.Non-elective admissions - CCG'!$D$5:$N$215,10,0)*$H164</f>
        <v>44.756142077563219</v>
      </c>
      <c r="R164" s="384">
        <f>VLOOKUP($A164,'8.Non-elective admissions - CCG'!$D$5:$Q$215,11,0)*$H164</f>
        <v>40.728935342417643</v>
      </c>
      <c r="S164" s="384">
        <f>VLOOKUP($A164,'8.Non-elective admissions - CCG'!$D$5:$Q$215,12,0)*$H164</f>
        <v>39.789817805440421</v>
      </c>
      <c r="T164" s="384">
        <f>VLOOKUP($A164,'8.Non-elective admissions - CCG'!$D$5:$Q$215,13,0)*$H164</f>
        <v>42.201065535517074</v>
      </c>
      <c r="U164" s="384">
        <f>VLOOKUP($A164,'8.Non-elective admissions - CCG'!$D$5:$Q$215,14,0)*$H164</f>
        <v>41.135040223272661</v>
      </c>
    </row>
    <row r="165" spans="1:21">
      <c r="A165" s="395" t="s">
        <v>138</v>
      </c>
      <c r="B165" s="395" t="s">
        <v>137</v>
      </c>
      <c r="C165" s="395" t="s">
        <v>778</v>
      </c>
      <c r="D165" s="395" t="s">
        <v>450</v>
      </c>
      <c r="E165" s="537">
        <f>COUNTIF($D$5:D165,D165)</f>
        <v>1</v>
      </c>
      <c r="F165" s="537" t="str">
        <f t="shared" si="4"/>
        <v>Tameside1</v>
      </c>
      <c r="G165" s="541" t="str">
        <f t="shared" si="5"/>
        <v>NHS Central Manchester CCG</v>
      </c>
      <c r="H165" s="546">
        <v>5.9191283494365041E-3</v>
      </c>
      <c r="I165" s="546">
        <v>5.4844606946983544E-3</v>
      </c>
      <c r="J165" s="384">
        <f>VLOOKUP($A165,'8.Non-elective admissions - CCG'!$D$5:$N$215,3,0)*$H165</f>
        <v>31.247078556675305</v>
      </c>
      <c r="K165" s="384">
        <f>VLOOKUP($A165,'8.Non-elective admissions - CCG'!$D$5:$N$215,4,0)*$H165</f>
        <v>30.122444170282371</v>
      </c>
      <c r="L165" s="384">
        <f>VLOOKUP($A165,'8.Non-elective admissions - CCG'!$D$5:$N$215,5,0)*$H165</f>
        <v>32.087594782295291</v>
      </c>
      <c r="M165" s="384">
        <f>VLOOKUP($A165,'8.Non-elective admissions - CCG'!$D$5:$N$215,6,0)*$H165</f>
        <v>32.170462579187401</v>
      </c>
      <c r="N165" s="384">
        <f>VLOOKUP($A165,'8.Non-elective admissions - CCG'!$D$5:$N$215,7,0)*$H165</f>
        <v>30.986636909300099</v>
      </c>
      <c r="O165" s="384">
        <f>VLOOKUP($A165,'8.Non-elective admissions - CCG'!$D$5:$N$215,8,0)*$H165</f>
        <v>30.234907608921663</v>
      </c>
      <c r="P165" s="384">
        <f>VLOOKUP($A165,'8.Non-elective admissions - CCG'!$D$5:$N$215,9,0)*$H165</f>
        <v>32.075756525596418</v>
      </c>
      <c r="Q165" s="384">
        <f>VLOOKUP($A165,'8.Non-elective admissions - CCG'!$D$5:$N$215,10,0)*$H165</f>
        <v>31.312188968519106</v>
      </c>
      <c r="R165" s="384">
        <f>VLOOKUP($A165,'8.Non-elective admissions - CCG'!$D$5:$Q$215,11,0)*$H165</f>
        <v>28.494683874187331</v>
      </c>
      <c r="S165" s="384">
        <f>VLOOKUP($A165,'8.Non-elective admissions - CCG'!$D$5:$Q$215,12,0)*$H165</f>
        <v>27.837660627399877</v>
      </c>
      <c r="T165" s="384">
        <f>VLOOKUP($A165,'8.Non-elective admissions - CCG'!$D$5:$Q$215,13,0)*$H165</f>
        <v>29.524612206989282</v>
      </c>
      <c r="U165" s="384">
        <f>VLOOKUP($A165,'8.Non-elective admissions - CCG'!$D$5:$Q$215,14,0)*$H165</f>
        <v>28.778802034960282</v>
      </c>
    </row>
    <row r="166" spans="1:21">
      <c r="A166" s="395" t="s">
        <v>138</v>
      </c>
      <c r="B166" s="395" t="s">
        <v>137</v>
      </c>
      <c r="C166" s="395" t="s">
        <v>783</v>
      </c>
      <c r="D166" s="395" t="s">
        <v>465</v>
      </c>
      <c r="E166" s="537">
        <f>COUNTIF($D$5:D166,D166)</f>
        <v>1</v>
      </c>
      <c r="F166" s="537" t="str">
        <f t="shared" si="4"/>
        <v>Trafford1</v>
      </c>
      <c r="G166" s="541" t="str">
        <f t="shared" si="5"/>
        <v>NHS Central Manchester CCG</v>
      </c>
      <c r="H166" s="546">
        <v>4.6706127522329575E-2</v>
      </c>
      <c r="I166" s="546">
        <v>4.1796228911677134E-2</v>
      </c>
      <c r="J166" s="384">
        <f>VLOOKUP($A166,'8.Non-elective admissions - CCG'!$D$5:$N$215,3,0)*$H166</f>
        <v>246.56164719037784</v>
      </c>
      <c r="K166" s="384">
        <f>VLOOKUP($A166,'8.Non-elective admissions - CCG'!$D$5:$N$215,4,0)*$H166</f>
        <v>237.6874829611352</v>
      </c>
      <c r="L166" s="384">
        <f>VLOOKUP($A166,'8.Non-elective admissions - CCG'!$D$5:$N$215,5,0)*$H166</f>
        <v>253.19391729854863</v>
      </c>
      <c r="M166" s="384">
        <f>VLOOKUP($A166,'8.Non-elective admissions - CCG'!$D$5:$N$215,6,0)*$H166</f>
        <v>253.84780308386124</v>
      </c>
      <c r="N166" s="384">
        <f>VLOOKUP($A166,'8.Non-elective admissions - CCG'!$D$5:$N$215,7,0)*$H166</f>
        <v>244.50657757939533</v>
      </c>
      <c r="O166" s="384">
        <f>VLOOKUP($A166,'8.Non-elective admissions - CCG'!$D$5:$N$215,8,0)*$H166</f>
        <v>238.57489938405948</v>
      </c>
      <c r="P166" s="384">
        <f>VLOOKUP($A166,'8.Non-elective admissions - CCG'!$D$5:$N$215,9,0)*$H166</f>
        <v>253.10050504350397</v>
      </c>
      <c r="Q166" s="384">
        <f>VLOOKUP($A166,'8.Non-elective admissions - CCG'!$D$5:$N$215,10,0)*$H166</f>
        <v>247.07541459312344</v>
      </c>
      <c r="R166" s="384">
        <f>VLOOKUP($A166,'8.Non-elective admissions - CCG'!$D$5:$Q$215,11,0)*$H166</f>
        <v>224.84329789249458</v>
      </c>
      <c r="S166" s="384">
        <f>VLOOKUP($A166,'8.Non-elective admissions - CCG'!$D$5:$Q$215,12,0)*$H166</f>
        <v>219.65891773751599</v>
      </c>
      <c r="T166" s="384">
        <f>VLOOKUP($A166,'8.Non-elective admissions - CCG'!$D$5:$Q$215,13,0)*$H166</f>
        <v>232.97016408137992</v>
      </c>
      <c r="U166" s="384">
        <f>VLOOKUP($A166,'8.Non-elective admissions - CCG'!$D$5:$Q$215,14,0)*$H166</f>
        <v>227.0851920135664</v>
      </c>
    </row>
    <row r="167" spans="1:21">
      <c r="A167" s="395" t="s">
        <v>141</v>
      </c>
      <c r="B167" s="395" t="s">
        <v>140</v>
      </c>
      <c r="C167" s="395" t="s">
        <v>667</v>
      </c>
      <c r="D167" s="395" t="s">
        <v>86</v>
      </c>
      <c r="E167" s="537">
        <f>COUNTIF($D$5:D167,D167)</f>
        <v>3</v>
      </c>
      <c r="F167" s="537" t="str">
        <f t="shared" si="4"/>
        <v>Buckinghamshire3</v>
      </c>
      <c r="G167" s="541" t="str">
        <f t="shared" si="5"/>
        <v>NHS Chiltern CCG</v>
      </c>
      <c r="H167" s="546">
        <v>0.96445207828190116</v>
      </c>
      <c r="I167" s="546">
        <v>0.59708870105641676</v>
      </c>
      <c r="J167" s="384">
        <f>VLOOKUP($A167,'8.Non-elective admissions - CCG'!$D$5:$N$215,3,0)*$H167</f>
        <v>5937.1669939033836</v>
      </c>
      <c r="K167" s="384">
        <f>VLOOKUP($A167,'8.Non-elective admissions - CCG'!$D$5:$N$215,4,0)*$H167</f>
        <v>5848.4374027014483</v>
      </c>
      <c r="L167" s="384">
        <f>VLOOKUP($A167,'8.Non-elective admissions - CCG'!$D$5:$N$215,5,0)*$H167</f>
        <v>6215.8936445268528</v>
      </c>
      <c r="M167" s="384">
        <f>VLOOKUP($A167,'8.Non-elective admissions - CCG'!$D$5:$N$215,6,0)*$H167</f>
        <v>6274.7252213020492</v>
      </c>
      <c r="N167" s="384">
        <f>VLOOKUP($A167,'8.Non-elective admissions - CCG'!$D$5:$N$215,7,0)*$H167</f>
        <v>6835.7747397504845</v>
      </c>
      <c r="O167" s="384">
        <f>VLOOKUP($A167,'8.Non-elective admissions - CCG'!$D$5:$N$215,8,0)*$H167</f>
        <v>6911.0839142247169</v>
      </c>
      <c r="P167" s="384">
        <f>VLOOKUP($A167,'8.Non-elective admissions - CCG'!$D$5:$N$215,9,0)*$H167</f>
        <v>6911.0839142247169</v>
      </c>
      <c r="Q167" s="384">
        <f>VLOOKUP($A167,'8.Non-elective admissions - CCG'!$D$5:$N$215,10,0)*$H167</f>
        <v>6760.4655652761539</v>
      </c>
      <c r="R167" s="384">
        <f>VLOOKUP($A167,'8.Non-elective admissions - CCG'!$D$5:$Q$215,11,0)*$H167</f>
        <v>6835.9163662353176</v>
      </c>
      <c r="S167" s="384">
        <f>VLOOKUP($A167,'8.Non-elective admissions - CCG'!$D$5:$Q$215,12,0)*$H167</f>
        <v>6911.2270970446152</v>
      </c>
      <c r="T167" s="384">
        <f>VLOOKUP($A167,'8.Non-elective admissions - CCG'!$D$5:$Q$215,13,0)*$H167</f>
        <v>6911.2270970446152</v>
      </c>
      <c r="U167" s="384">
        <f>VLOOKUP($A167,'8.Non-elective admissions - CCG'!$D$5:$Q$215,14,0)*$H167</f>
        <v>6760.605635426019</v>
      </c>
    </row>
    <row r="168" spans="1:21">
      <c r="A168" s="395" t="s">
        <v>141</v>
      </c>
      <c r="B168" s="395" t="s">
        <v>140</v>
      </c>
      <c r="C168" s="395" t="s">
        <v>705</v>
      </c>
      <c r="D168" s="395" t="s">
        <v>227</v>
      </c>
      <c r="E168" s="537">
        <f>COUNTIF($D$5:D168,D168)</f>
        <v>5</v>
      </c>
      <c r="F168" s="537" t="str">
        <f t="shared" si="4"/>
        <v>Hertfordshire5</v>
      </c>
      <c r="G168" s="541" t="str">
        <f t="shared" si="5"/>
        <v>NHS Chiltern CCG</v>
      </c>
      <c r="H168" s="546">
        <v>9.0432650435320937E-4</v>
      </c>
      <c r="I168" s="546">
        <v>0</v>
      </c>
      <c r="J168" s="384">
        <f>VLOOKUP($A168,'8.Non-elective admissions - CCG'!$D$5:$N$215,3,0)*$H168</f>
        <v>5.5670339607983568</v>
      </c>
      <c r="K168" s="384">
        <f>VLOOKUP($A168,'8.Non-elective admissions - CCG'!$D$5:$N$215,4,0)*$H168</f>
        <v>5.4838359223978612</v>
      </c>
      <c r="L168" s="384">
        <f>VLOOKUP($A168,'8.Non-elective admissions - CCG'!$D$5:$N$215,5,0)*$H168</f>
        <v>5.8283843205564345</v>
      </c>
      <c r="M168" s="384">
        <f>VLOOKUP($A168,'8.Non-elective admissions - CCG'!$D$5:$N$215,6,0)*$H168</f>
        <v>5.8835482373219801</v>
      </c>
      <c r="N168" s="384">
        <f>VLOOKUP($A168,'8.Non-elective admissions - CCG'!$D$5:$N$215,7,0)*$H168</f>
        <v>6.4096209797762969</v>
      </c>
      <c r="O168" s="384">
        <f>VLOOKUP($A168,'8.Non-elective admissions - CCG'!$D$5:$N$215,8,0)*$H168</f>
        <v>6.4802352529284999</v>
      </c>
      <c r="P168" s="384">
        <f>VLOOKUP($A168,'8.Non-elective admissions - CCG'!$D$5:$N$215,9,0)*$H168</f>
        <v>6.4802352529284999</v>
      </c>
      <c r="Q168" s="384">
        <f>VLOOKUP($A168,'8.Non-elective admissions - CCG'!$D$5:$N$215,10,0)*$H168</f>
        <v>6.3390067066240015</v>
      </c>
      <c r="R168" s="384">
        <f>VLOOKUP($A168,'8.Non-elective admissions - CCG'!$D$5:$Q$215,11,0)*$H168</f>
        <v>6.4097537770265047</v>
      </c>
      <c r="S168" s="384">
        <f>VLOOKUP($A168,'8.Non-elective admissions - CCG'!$D$5:$Q$215,12,0)*$H168</f>
        <v>6.4803695094892122</v>
      </c>
      <c r="T168" s="384">
        <f>VLOOKUP($A168,'8.Non-elective admissions - CCG'!$D$5:$Q$215,13,0)*$H168</f>
        <v>6.4803695094892122</v>
      </c>
      <c r="U168" s="384">
        <f>VLOOKUP($A168,'8.Non-elective admissions - CCG'!$D$5:$Q$215,14,0)*$H168</f>
        <v>6.3391380445637955</v>
      </c>
    </row>
    <row r="169" spans="1:21">
      <c r="A169" s="395" t="s">
        <v>141</v>
      </c>
      <c r="B169" s="395" t="s">
        <v>140</v>
      </c>
      <c r="C169" s="395" t="s">
        <v>706</v>
      </c>
      <c r="D169" s="395" t="s">
        <v>231</v>
      </c>
      <c r="E169" s="537">
        <f>COUNTIF($D$5:D169,D169)</f>
        <v>1</v>
      </c>
      <c r="F169" s="537" t="str">
        <f t="shared" si="4"/>
        <v>Hillingdon1</v>
      </c>
      <c r="G169" s="541" t="str">
        <f t="shared" si="5"/>
        <v>NHS Chiltern CCG</v>
      </c>
      <c r="H169" s="546">
        <v>1.010539348824224E-3</v>
      </c>
      <c r="I169" s="546">
        <v>1.0778966449253079E-3</v>
      </c>
      <c r="J169" s="384">
        <f>VLOOKUP($A169,'8.Non-elective admissions - CCG'!$D$5:$N$215,3,0)*$H169</f>
        <v>6.2208802313619227</v>
      </c>
      <c r="K169" s="384">
        <f>VLOOKUP($A169,'8.Non-elective admissions - CCG'!$D$5:$N$215,4,0)*$H169</f>
        <v>6.127910611270095</v>
      </c>
      <c r="L169" s="384">
        <f>VLOOKUP($A169,'8.Non-elective admissions - CCG'!$D$5:$N$215,5,0)*$H169</f>
        <v>6.5129261031721235</v>
      </c>
      <c r="M169" s="384">
        <f>VLOOKUP($A169,'8.Non-elective admissions - CCG'!$D$5:$N$215,6,0)*$H169</f>
        <v>6.5745690034504012</v>
      </c>
      <c r="N169" s="384">
        <f>VLOOKUP($A169,'8.Non-elective admissions - CCG'!$D$5:$N$215,7,0)*$H169</f>
        <v>7.1624288129715001</v>
      </c>
      <c r="O169" s="384">
        <f>VLOOKUP($A169,'8.Non-elective admissions - CCG'!$D$5:$N$215,8,0)*$H169</f>
        <v>7.2413367088093654</v>
      </c>
      <c r="P169" s="384">
        <f>VLOOKUP($A169,'8.Non-elective admissions - CCG'!$D$5:$N$215,9,0)*$H169</f>
        <v>7.2413367088093654</v>
      </c>
      <c r="Q169" s="384">
        <f>VLOOKUP($A169,'8.Non-elective admissions - CCG'!$D$5:$N$215,10,0)*$H169</f>
        <v>7.0835209171335327</v>
      </c>
      <c r="R169" s="384">
        <f>VLOOKUP($A169,'8.Non-elective admissions - CCG'!$D$5:$Q$215,11,0)*$H169</f>
        <v>7.1625772072141816</v>
      </c>
      <c r="S169" s="384">
        <f>VLOOKUP($A169,'8.Non-elective admissions - CCG'!$D$5:$Q$215,12,0)*$H169</f>
        <v>7.2414867337580811</v>
      </c>
      <c r="T169" s="384">
        <f>VLOOKUP($A169,'8.Non-elective admissions - CCG'!$D$5:$Q$215,13,0)*$H169</f>
        <v>7.2414867337580811</v>
      </c>
      <c r="U169" s="384">
        <f>VLOOKUP($A169,'8.Non-elective admissions - CCG'!$D$5:$Q$215,14,0)*$H169</f>
        <v>7.0836676806702821</v>
      </c>
    </row>
    <row r="170" spans="1:21">
      <c r="A170" s="395" t="s">
        <v>141</v>
      </c>
      <c r="B170" s="395" t="s">
        <v>140</v>
      </c>
      <c r="C170" s="395" t="s">
        <v>760</v>
      </c>
      <c r="D170" s="395" t="s">
        <v>396</v>
      </c>
      <c r="E170" s="537">
        <f>COUNTIF($D$5:D170,D170)</f>
        <v>1</v>
      </c>
      <c r="F170" s="537" t="str">
        <f t="shared" si="4"/>
        <v>Slough1</v>
      </c>
      <c r="G170" s="541" t="str">
        <f t="shared" si="5"/>
        <v>NHS Chiltern CCG</v>
      </c>
      <c r="H170" s="546">
        <v>2.8510562108719471E-2</v>
      </c>
      <c r="I170" s="546">
        <v>6.0910776571880543E-2</v>
      </c>
      <c r="J170" s="384">
        <f>VLOOKUP($A170,'8.Non-elective admissions - CCG'!$D$5:$N$215,3,0)*$H170</f>
        <v>175.51102034127706</v>
      </c>
      <c r="K170" s="384">
        <f>VLOOKUP($A170,'8.Non-elective admissions - CCG'!$D$5:$N$215,4,0)*$H170</f>
        <v>172.88804862727488</v>
      </c>
      <c r="L170" s="384">
        <f>VLOOKUP($A170,'8.Non-elective admissions - CCG'!$D$5:$N$215,5,0)*$H170</f>
        <v>183.75057279069699</v>
      </c>
      <c r="M170" s="384">
        <f>VLOOKUP($A170,'8.Non-elective admissions - CCG'!$D$5:$N$215,6,0)*$H170</f>
        <v>185.48971707932887</v>
      </c>
      <c r="N170" s="384">
        <f>VLOOKUP($A170,'8.Non-elective admissions - CCG'!$D$5:$N$215,7,0)*$H170</f>
        <v>202.07513122482655</v>
      </c>
      <c r="O170" s="384">
        <f>VLOOKUP($A170,'8.Non-elective admissions - CCG'!$D$5:$N$215,8,0)*$H170</f>
        <v>204.30137651430624</v>
      </c>
      <c r="P170" s="384">
        <f>VLOOKUP($A170,'8.Non-elective admissions - CCG'!$D$5:$N$215,9,0)*$H170</f>
        <v>204.30137651430624</v>
      </c>
      <c r="Q170" s="384">
        <f>VLOOKUP($A170,'8.Non-elective admissions - CCG'!$D$5:$N$215,10,0)*$H170</f>
        <v>199.84888593534396</v>
      </c>
      <c r="R170" s="384">
        <f>VLOOKUP($A170,'8.Non-elective admissions - CCG'!$D$5:$Q$215,11,0)*$H170</f>
        <v>202.07931790323494</v>
      </c>
      <c r="S170" s="384">
        <f>VLOOKUP($A170,'8.Non-elective admissions - CCG'!$D$5:$Q$215,12,0)*$H170</f>
        <v>204.30560920017166</v>
      </c>
      <c r="T170" s="384">
        <f>VLOOKUP($A170,'8.Non-elective admissions - CCG'!$D$5:$Q$215,13,0)*$H170</f>
        <v>204.30560920017166</v>
      </c>
      <c r="U170" s="384">
        <f>VLOOKUP($A170,'8.Non-elective admissions - CCG'!$D$5:$Q$215,14,0)*$H170</f>
        <v>199.85302660629819</v>
      </c>
    </row>
    <row r="171" spans="1:21">
      <c r="A171" s="395" t="s">
        <v>141</v>
      </c>
      <c r="B171" s="395" t="s">
        <v>140</v>
      </c>
      <c r="C171" s="395" t="s">
        <v>795</v>
      </c>
      <c r="D171" s="395" t="s">
        <v>501</v>
      </c>
      <c r="E171" s="537">
        <f>COUNTIF($D$5:D171,D171)</f>
        <v>2</v>
      </c>
      <c r="F171" s="537" t="str">
        <f t="shared" si="4"/>
        <v>Windsor and Maidenhead2</v>
      </c>
      <c r="G171" s="541" t="str">
        <f t="shared" si="5"/>
        <v>NHS Chiltern CCG</v>
      </c>
      <c r="H171" s="546">
        <v>5.122493756202072E-3</v>
      </c>
      <c r="I171" s="546">
        <v>1.0835307182242421E-2</v>
      </c>
      <c r="J171" s="384">
        <f>VLOOKUP($A171,'8.Non-elective admissions - CCG'!$D$5:$N$215,3,0)*$H171</f>
        <v>31.534071563179957</v>
      </c>
      <c r="K171" s="384">
        <f>VLOOKUP($A171,'8.Non-elective admissions - CCG'!$D$5:$N$215,4,0)*$H171</f>
        <v>31.062802137609363</v>
      </c>
      <c r="L171" s="384">
        <f>VLOOKUP($A171,'8.Non-elective admissions - CCG'!$D$5:$N$215,5,0)*$H171</f>
        <v>33.014472258722357</v>
      </c>
      <c r="M171" s="384">
        <f>VLOOKUP($A171,'8.Non-elective admissions - CCG'!$D$5:$N$215,6,0)*$H171</f>
        <v>33.32694437785068</v>
      </c>
      <c r="N171" s="384">
        <f>VLOOKUP($A171,'8.Non-elective admissions - CCG'!$D$5:$N$215,7,0)*$H171</f>
        <v>36.306846355242918</v>
      </c>
      <c r="O171" s="384">
        <f>VLOOKUP($A171,'8.Non-elective admissions - CCG'!$D$5:$N$215,8,0)*$H171</f>
        <v>36.70683592933996</v>
      </c>
      <c r="P171" s="384">
        <f>VLOOKUP($A171,'8.Non-elective admissions - CCG'!$D$5:$N$215,9,0)*$H171</f>
        <v>36.70683592933996</v>
      </c>
      <c r="Q171" s="384">
        <f>VLOOKUP($A171,'8.Non-elective admissions - CCG'!$D$5:$N$215,10,0)*$H171</f>
        <v>35.906856781145351</v>
      </c>
      <c r="R171" s="384">
        <f>VLOOKUP($A171,'8.Non-elective admissions - CCG'!$D$5:$Q$215,11,0)*$H171</f>
        <v>36.307598575908521</v>
      </c>
      <c r="S171" s="384">
        <f>VLOOKUP($A171,'8.Non-elective admissions - CCG'!$D$5:$Q$215,12,0)*$H171</f>
        <v>36.707596416167085</v>
      </c>
      <c r="T171" s="384">
        <f>VLOOKUP($A171,'8.Non-elective admissions - CCG'!$D$5:$Q$215,13,0)*$H171</f>
        <v>36.707596416167085</v>
      </c>
      <c r="U171" s="384">
        <f>VLOOKUP($A171,'8.Non-elective admissions - CCG'!$D$5:$Q$215,14,0)*$H171</f>
        <v>35.907600735649957</v>
      </c>
    </row>
    <row r="172" spans="1:21">
      <c r="A172" s="395" t="s">
        <v>145</v>
      </c>
      <c r="B172" s="395" t="s">
        <v>144</v>
      </c>
      <c r="C172" s="395" t="s">
        <v>659</v>
      </c>
      <c r="D172" s="395" t="s">
        <v>56</v>
      </c>
      <c r="E172" s="537">
        <f>COUNTIF($D$5:D172,D172)</f>
        <v>3</v>
      </c>
      <c r="F172" s="537" t="str">
        <f t="shared" si="4"/>
        <v>Bolton3</v>
      </c>
      <c r="G172" s="541" t="str">
        <f t="shared" si="5"/>
        <v>NHS Chorley and South Ribble CCG</v>
      </c>
      <c r="H172" s="546">
        <v>2.2610459746014834E-3</v>
      </c>
      <c r="I172" s="546">
        <v>1.3400863835132432E-3</v>
      </c>
      <c r="J172" s="384">
        <f>VLOOKUP($A172,'8.Non-elective admissions - CCG'!$D$5:$N$215,3,0)*$H172</f>
        <v>10.140791196087653</v>
      </c>
      <c r="K172" s="384">
        <f>VLOOKUP($A172,'8.Non-elective admissions - CCG'!$D$5:$N$215,4,0)*$H172</f>
        <v>9.9621685640941369</v>
      </c>
      <c r="L172" s="384">
        <f>VLOOKUP($A172,'8.Non-elective admissions - CCG'!$D$5:$N$215,5,0)*$H172</f>
        <v>10.02999994333218</v>
      </c>
      <c r="M172" s="384">
        <f>VLOOKUP($A172,'8.Non-elective admissions - CCG'!$D$5:$N$215,6,0)*$H172</f>
        <v>9.7903290700244234</v>
      </c>
      <c r="N172" s="384">
        <f>VLOOKUP($A172,'8.Non-elective admissions - CCG'!$D$5:$N$215,7,0)*$H172</f>
        <v>10.100092368544827</v>
      </c>
      <c r="O172" s="384">
        <f>VLOOKUP($A172,'8.Non-elective admissions - CCG'!$D$5:$N$215,8,0)*$H172</f>
        <v>9.9169476446021072</v>
      </c>
      <c r="P172" s="384">
        <f>VLOOKUP($A172,'8.Non-elective admissions - CCG'!$D$5:$N$215,9,0)*$H172</f>
        <v>9.9847790238401508</v>
      </c>
      <c r="Q172" s="384">
        <f>VLOOKUP($A172,'8.Non-elective admissions - CCG'!$D$5:$N$215,10,0)*$H172</f>
        <v>9.9802569318909473</v>
      </c>
      <c r="R172" s="384">
        <f>VLOOKUP($A172,'8.Non-elective admissions - CCG'!$D$5:$Q$215,11,0)*$H172</f>
        <v>9.7654575643038068</v>
      </c>
      <c r="S172" s="384">
        <f>VLOOKUP($A172,'8.Non-elective admissions - CCG'!$D$5:$Q$215,12,0)*$H172</f>
        <v>9.5913570242594925</v>
      </c>
      <c r="T172" s="384">
        <f>VLOOKUP($A172,'8.Non-elective admissions - CCG'!$D$5:$Q$215,13,0)*$H172</f>
        <v>9.6524052655737336</v>
      </c>
      <c r="U172" s="384">
        <f>VLOOKUP($A172,'8.Non-elective admissions - CCG'!$D$5:$Q$215,14,0)*$H172</f>
        <v>9.6524052655737336</v>
      </c>
    </row>
    <row r="173" spans="1:21">
      <c r="A173" s="395" t="s">
        <v>145</v>
      </c>
      <c r="B173" s="395" t="s">
        <v>144</v>
      </c>
      <c r="C173" s="395" t="s">
        <v>718</v>
      </c>
      <c r="D173" s="395" t="s">
        <v>270</v>
      </c>
      <c r="E173" s="537">
        <f>COUNTIF($D$5:D173,D173)</f>
        <v>6</v>
      </c>
      <c r="F173" s="537" t="str">
        <f t="shared" si="4"/>
        <v>Lancashire6</v>
      </c>
      <c r="G173" s="541" t="str">
        <f t="shared" si="5"/>
        <v>NHS Chorley and South Ribble CCG</v>
      </c>
      <c r="H173" s="546">
        <v>0.99773895402539847</v>
      </c>
      <c r="I173" s="546">
        <v>0.14356900270311043</v>
      </c>
      <c r="J173" s="384">
        <f>VLOOKUP($A173,'8.Non-elective admissions - CCG'!$D$5:$N$215,3,0)*$H173</f>
        <v>4474.8592088039122</v>
      </c>
      <c r="K173" s="384">
        <f>VLOOKUP($A173,'8.Non-elective admissions - CCG'!$D$5:$N$215,4,0)*$H173</f>
        <v>4396.0378314359059</v>
      </c>
      <c r="L173" s="384">
        <f>VLOOKUP($A173,'8.Non-elective admissions - CCG'!$D$5:$N$215,5,0)*$H173</f>
        <v>4425.9700000566672</v>
      </c>
      <c r="M173" s="384">
        <f>VLOOKUP($A173,'8.Non-elective admissions - CCG'!$D$5:$N$215,6,0)*$H173</f>
        <v>4320.2096709299758</v>
      </c>
      <c r="N173" s="384">
        <f>VLOOKUP($A173,'8.Non-elective admissions - CCG'!$D$5:$N$215,7,0)*$H173</f>
        <v>4456.8999076314549</v>
      </c>
      <c r="O173" s="384">
        <f>VLOOKUP($A173,'8.Non-elective admissions - CCG'!$D$5:$N$215,8,0)*$H173</f>
        <v>4376.0830523553977</v>
      </c>
      <c r="P173" s="384">
        <f>VLOOKUP($A173,'8.Non-elective admissions - CCG'!$D$5:$N$215,9,0)*$H173</f>
        <v>4406.01522097616</v>
      </c>
      <c r="Q173" s="384">
        <f>VLOOKUP($A173,'8.Non-elective admissions - CCG'!$D$5:$N$215,10,0)*$H173</f>
        <v>4404.0197430681092</v>
      </c>
      <c r="R173" s="384">
        <f>VLOOKUP($A173,'8.Non-elective admissions - CCG'!$D$5:$Q$215,11,0)*$H173</f>
        <v>4309.2345424356963</v>
      </c>
      <c r="S173" s="384">
        <f>VLOOKUP($A173,'8.Non-elective admissions - CCG'!$D$5:$Q$215,12,0)*$H173</f>
        <v>4232.4086429757399</v>
      </c>
      <c r="T173" s="384">
        <f>VLOOKUP($A173,'8.Non-elective admissions - CCG'!$D$5:$Q$215,13,0)*$H173</f>
        <v>4259.3475947344259</v>
      </c>
      <c r="U173" s="384">
        <f>VLOOKUP($A173,'8.Non-elective admissions - CCG'!$D$5:$Q$215,14,0)*$H173</f>
        <v>4259.3475947344259</v>
      </c>
    </row>
    <row r="174" spans="1:21">
      <c r="A174" s="395" t="s">
        <v>148</v>
      </c>
      <c r="B174" s="395" t="s">
        <v>147</v>
      </c>
      <c r="C174" s="395" t="s">
        <v>675</v>
      </c>
      <c r="D174" s="395" t="s">
        <v>117</v>
      </c>
      <c r="E174" s="537">
        <f>COUNTIF($D$5:D174,D174)</f>
        <v>3</v>
      </c>
      <c r="F174" s="537" t="str">
        <f t="shared" si="4"/>
        <v>City of London3</v>
      </c>
      <c r="G174" s="541" t="str">
        <f t="shared" si="5"/>
        <v>NHS City and Hackney CCG</v>
      </c>
      <c r="H174" s="546">
        <v>1.9010798189050094E-2</v>
      </c>
      <c r="I174" s="546">
        <v>0.75299793246037217</v>
      </c>
      <c r="J174" s="384">
        <f>VLOOKUP($A174,'8.Non-elective admissions - CCG'!$D$5:$N$215,3,0)*$H174</f>
        <v>113.53248678500717</v>
      </c>
      <c r="K174" s="384">
        <f>VLOOKUP($A174,'8.Non-elective admissions - CCG'!$D$5:$N$215,4,0)*$H174</f>
        <v>108.07638770474978</v>
      </c>
      <c r="L174" s="384">
        <f>VLOOKUP($A174,'8.Non-elective admissions - CCG'!$D$5:$N$215,5,0)*$H174</f>
        <v>109.84439193633145</v>
      </c>
      <c r="M174" s="384">
        <f>VLOOKUP($A174,'8.Non-elective admissions - CCG'!$D$5:$N$215,6,0)*$H174</f>
        <v>105.28180037095942</v>
      </c>
      <c r="N174" s="384">
        <f>VLOOKUP($A174,'8.Non-elective admissions - CCG'!$D$5:$N$215,7,0)*$H174</f>
        <v>134.64880213585178</v>
      </c>
      <c r="O174" s="384">
        <f>VLOOKUP($A174,'8.Non-elective admissions - CCG'!$D$5:$N$215,8,0)*$H174</f>
        <v>126.87266955953373</v>
      </c>
      <c r="P174" s="384">
        <f>VLOOKUP($A174,'8.Non-elective admissions - CCG'!$D$5:$N$215,9,0)*$H174</f>
        <v>133.32651083362941</v>
      </c>
      <c r="Q174" s="384">
        <f>VLOOKUP($A174,'8.Non-elective admissions - CCG'!$D$5:$N$215,10,0)*$H174</f>
        <v>140.06051975795094</v>
      </c>
      <c r="R174" s="384">
        <f>VLOOKUP($A174,'8.Non-elective admissions - CCG'!$D$5:$Q$215,11,0)*$H174</f>
        <v>139.14116563502654</v>
      </c>
      <c r="S174" s="384">
        <f>VLOOKUP($A174,'8.Non-elective admissions - CCG'!$D$5:$Q$215,12,0)*$H174</f>
        <v>131.05427331397331</v>
      </c>
      <c r="T174" s="384">
        <f>VLOOKUP($A174,'8.Non-elective admissions - CCG'!$D$5:$Q$215,13,0)*$H174</f>
        <v>137.7852931493936</v>
      </c>
      <c r="U174" s="384">
        <f>VLOOKUP($A174,'8.Non-elective admissions - CCG'!$D$5:$Q$215,14,0)*$H174</f>
        <v>144.74142138072207</v>
      </c>
    </row>
    <row r="175" spans="1:21">
      <c r="A175" s="395" t="s">
        <v>148</v>
      </c>
      <c r="B175" s="395" t="s">
        <v>147</v>
      </c>
      <c r="C175" s="395" t="s">
        <v>691</v>
      </c>
      <c r="D175" s="395" t="s">
        <v>176</v>
      </c>
      <c r="E175" s="537">
        <f>COUNTIF($D$5:D175,D175)</f>
        <v>2</v>
      </c>
      <c r="F175" s="537" t="str">
        <f t="shared" si="4"/>
        <v>Enfield2</v>
      </c>
      <c r="G175" s="541" t="str">
        <f t="shared" si="5"/>
        <v>NHS City and Hackney CCG</v>
      </c>
      <c r="H175" s="546">
        <v>1.1100942014107594E-3</v>
      </c>
      <c r="I175" s="546">
        <v>9.7583060314896546E-4</v>
      </c>
      <c r="J175" s="384">
        <f>VLOOKUP($A175,'8.Non-elective admissions - CCG'!$D$5:$N$215,3,0)*$H175</f>
        <v>6.6294825708250551</v>
      </c>
      <c r="K175" s="384">
        <f>VLOOKUP($A175,'8.Non-elective admissions - CCG'!$D$5:$N$215,4,0)*$H175</f>
        <v>6.3108855350201676</v>
      </c>
      <c r="L175" s="384">
        <f>VLOOKUP($A175,'8.Non-elective admissions - CCG'!$D$5:$N$215,5,0)*$H175</f>
        <v>6.4141242957513684</v>
      </c>
      <c r="M175" s="384">
        <f>VLOOKUP($A175,'8.Non-elective admissions - CCG'!$D$5:$N$215,6,0)*$H175</f>
        <v>6.1477016874127859</v>
      </c>
      <c r="N175" s="384">
        <f>VLOOKUP($A175,'8.Non-elective admissions - CCG'!$D$5:$N$215,7,0)*$H175</f>
        <v>7.8625238662523724</v>
      </c>
      <c r="O175" s="384">
        <f>VLOOKUP($A175,'8.Non-elective admissions - CCG'!$D$5:$N$215,8,0)*$H175</f>
        <v>7.4084535217813015</v>
      </c>
      <c r="P175" s="384">
        <f>VLOOKUP($A175,'8.Non-elective admissions - CCG'!$D$5:$N$215,9,0)*$H175</f>
        <v>7.7853115423627628</v>
      </c>
      <c r="Q175" s="384">
        <f>VLOOKUP($A175,'8.Non-elective admissions - CCG'!$D$5:$N$215,10,0)*$H175</f>
        <v>8.1785293433619515</v>
      </c>
      <c r="R175" s="384">
        <f>VLOOKUP($A175,'8.Non-elective admissions - CCG'!$D$5:$Q$215,11,0)*$H175</f>
        <v>8.1248456594496528</v>
      </c>
      <c r="S175" s="384">
        <f>VLOOKUP($A175,'8.Non-elective admissions - CCG'!$D$5:$Q$215,12,0)*$H175</f>
        <v>7.6526291757564495</v>
      </c>
      <c r="T175" s="384">
        <f>VLOOKUP($A175,'8.Non-elective admissions - CCG'!$D$5:$Q$215,13,0)*$H175</f>
        <v>8.0456724354121452</v>
      </c>
      <c r="U175" s="384">
        <f>VLOOKUP($A175,'8.Non-elective admissions - CCG'!$D$5:$Q$215,14,0)*$H175</f>
        <v>8.4518604101135519</v>
      </c>
    </row>
    <row r="176" spans="1:21">
      <c r="A176" s="395" t="s">
        <v>148</v>
      </c>
      <c r="B176" s="395" t="s">
        <v>147</v>
      </c>
      <c r="C176" s="395" t="s">
        <v>696</v>
      </c>
      <c r="D176" s="395" t="s">
        <v>195</v>
      </c>
      <c r="E176" s="537">
        <f>COUNTIF($D$5:D176,D176)</f>
        <v>3</v>
      </c>
      <c r="F176" s="537" t="str">
        <f t="shared" si="4"/>
        <v>Hackney3</v>
      </c>
      <c r="G176" s="541" t="str">
        <f t="shared" si="5"/>
        <v>NHS City and Hackney CCG</v>
      </c>
      <c r="H176" s="546">
        <v>0.90993273316328149</v>
      </c>
      <c r="I176" s="546">
        <v>0.94604783768040424</v>
      </c>
      <c r="J176" s="384">
        <f>VLOOKUP($A176,'8.Non-elective admissions - CCG'!$D$5:$N$215,3,0)*$H176</f>
        <v>5434.118282451117</v>
      </c>
      <c r="K176" s="384">
        <f>VLOOKUP($A176,'8.Non-elective admissions - CCG'!$D$5:$N$215,4,0)*$H176</f>
        <v>5172.9675880332552</v>
      </c>
      <c r="L176" s="384">
        <f>VLOOKUP($A176,'8.Non-elective admissions - CCG'!$D$5:$N$215,5,0)*$H176</f>
        <v>5257.5913322174401</v>
      </c>
      <c r="M176" s="384">
        <f>VLOOKUP($A176,'8.Non-elective admissions - CCG'!$D$5:$N$215,6,0)*$H176</f>
        <v>5039.2074762582533</v>
      </c>
      <c r="N176" s="384">
        <f>VLOOKUP($A176,'8.Non-elective admissions - CCG'!$D$5:$N$215,7,0)*$H176</f>
        <v>6444.8294767132811</v>
      </c>
      <c r="O176" s="384">
        <f>VLOOKUP($A176,'8.Non-elective admissions - CCG'!$D$5:$N$215,8,0)*$H176</f>
        <v>6072.6327126297701</v>
      </c>
      <c r="P176" s="384">
        <f>VLOOKUP($A176,'8.Non-elective admissions - CCG'!$D$5:$N$215,9,0)*$H176</f>
        <v>6381.539333569146</v>
      </c>
      <c r="Q176" s="384">
        <f>VLOOKUP($A176,'8.Non-elective admissions - CCG'!$D$5:$N$215,10,0)*$H176</f>
        <v>6703.8558972778264</v>
      </c>
      <c r="R176" s="384">
        <f>VLOOKUP($A176,'8.Non-elective admissions - CCG'!$D$5:$Q$215,11,0)*$H176</f>
        <v>6659.8519369233691</v>
      </c>
      <c r="S176" s="384">
        <f>VLOOKUP($A176,'8.Non-elective admissions - CCG'!$D$5:$Q$215,12,0)*$H176</f>
        <v>6272.7809702381574</v>
      </c>
      <c r="T176" s="384">
        <f>VLOOKUP($A176,'8.Non-elective admissions - CCG'!$D$5:$Q$215,13,0)*$H176</f>
        <v>6594.9544642131759</v>
      </c>
      <c r="U176" s="384">
        <f>VLOOKUP($A176,'8.Non-elective admissions - CCG'!$D$5:$Q$215,14,0)*$H176</f>
        <v>6927.9025451313537</v>
      </c>
    </row>
    <row r="177" spans="1:21">
      <c r="A177" s="395" t="s">
        <v>148</v>
      </c>
      <c r="B177" s="395" t="s">
        <v>147</v>
      </c>
      <c r="C177" s="395" t="s">
        <v>700</v>
      </c>
      <c r="D177" s="395" t="s">
        <v>209</v>
      </c>
      <c r="E177" s="537">
        <f>COUNTIF($D$5:D177,D177)</f>
        <v>3</v>
      </c>
      <c r="F177" s="537" t="str">
        <f t="shared" si="4"/>
        <v>Haringey3</v>
      </c>
      <c r="G177" s="541" t="str">
        <f t="shared" si="5"/>
        <v>NHS City and Hackney CCG</v>
      </c>
      <c r="H177" s="546">
        <v>2.7964630101996436E-2</v>
      </c>
      <c r="I177" s="546">
        <v>2.9462229978442271E-2</v>
      </c>
      <c r="J177" s="384">
        <f>VLOOKUP($A177,'8.Non-elective admissions - CCG'!$D$5:$N$215,3,0)*$H177</f>
        <v>167.00477096912272</v>
      </c>
      <c r="K177" s="384">
        <f>VLOOKUP($A177,'8.Non-elective admissions - CCG'!$D$5:$N$215,4,0)*$H177</f>
        <v>158.97892212984974</v>
      </c>
      <c r="L177" s="384">
        <f>VLOOKUP($A177,'8.Non-elective admissions - CCG'!$D$5:$N$215,5,0)*$H177</f>
        <v>161.5796327293354</v>
      </c>
      <c r="M177" s="384">
        <f>VLOOKUP($A177,'8.Non-elective admissions - CCG'!$D$5:$N$215,6,0)*$H177</f>
        <v>154.86812150485628</v>
      </c>
      <c r="N177" s="384">
        <f>VLOOKUP($A177,'8.Non-elective admissions - CCG'!$D$5:$N$215,7,0)*$H177</f>
        <v>198.0665886808905</v>
      </c>
      <c r="O177" s="384">
        <f>VLOOKUP($A177,'8.Non-elective admissions - CCG'!$D$5:$N$215,8,0)*$H177</f>
        <v>186.6280015706412</v>
      </c>
      <c r="P177" s="384">
        <f>VLOOKUP($A177,'8.Non-elective admissions - CCG'!$D$5:$N$215,9,0)*$H177</f>
        <v>196.12151584459926</v>
      </c>
      <c r="Q177" s="384">
        <f>VLOOKUP($A177,'8.Non-elective admissions - CCG'!$D$5:$N$215,10,0)*$H177</f>
        <v>206.02715298826536</v>
      </c>
      <c r="R177" s="384">
        <f>VLOOKUP($A177,'8.Non-elective admissions - CCG'!$D$5:$Q$215,11,0)*$H177</f>
        <v>204.67479535842449</v>
      </c>
      <c r="S177" s="384">
        <f>VLOOKUP($A177,'8.Non-elective admissions - CCG'!$D$5:$Q$215,12,0)*$H177</f>
        <v>192.77908481623459</v>
      </c>
      <c r="T177" s="384">
        <f>VLOOKUP($A177,'8.Non-elective admissions - CCG'!$D$5:$Q$215,13,0)*$H177</f>
        <v>202.68032505006897</v>
      </c>
      <c r="U177" s="384">
        <f>VLOOKUP($A177,'8.Non-elective admissions - CCG'!$D$5:$Q$215,14,0)*$H177</f>
        <v>212.91269672624608</v>
      </c>
    </row>
    <row r="178" spans="1:21">
      <c r="A178" s="395" t="s">
        <v>148</v>
      </c>
      <c r="B178" s="395" t="s">
        <v>147</v>
      </c>
      <c r="C178" s="395" t="s">
        <v>710</v>
      </c>
      <c r="D178" s="395" t="s">
        <v>245</v>
      </c>
      <c r="E178" s="537">
        <f>COUNTIF($D$5:D178,D178)</f>
        <v>3</v>
      </c>
      <c r="F178" s="537" t="str">
        <f t="shared" si="4"/>
        <v>Islington3</v>
      </c>
      <c r="G178" s="541" t="str">
        <f t="shared" si="5"/>
        <v>NHS City and Hackney CCG</v>
      </c>
      <c r="H178" s="546">
        <v>3.1660304214530061E-2</v>
      </c>
      <c r="I178" s="546">
        <v>3.9216362421603916E-2</v>
      </c>
      <c r="J178" s="384">
        <f>VLOOKUP($A178,'8.Non-elective admissions - CCG'!$D$5:$N$215,3,0)*$H178</f>
        <v>189.07533676917353</v>
      </c>
      <c r="K178" s="384">
        <f>VLOOKUP($A178,'8.Non-elective admissions - CCG'!$D$5:$N$215,4,0)*$H178</f>
        <v>179.98882945960341</v>
      </c>
      <c r="L178" s="384">
        <f>VLOOKUP($A178,'8.Non-elective admissions - CCG'!$D$5:$N$215,5,0)*$H178</f>
        <v>182.93323775155469</v>
      </c>
      <c r="M178" s="384">
        <f>VLOOKUP($A178,'8.Non-elective admissions - CCG'!$D$5:$N$215,6,0)*$H178</f>
        <v>175.33476474006747</v>
      </c>
      <c r="N178" s="384">
        <f>VLOOKUP($A178,'8.Non-elective admissions - CCG'!$D$5:$N$215,7,0)*$H178</f>
        <v>224.24213835474634</v>
      </c>
      <c r="O178" s="384">
        <f>VLOOKUP($A178,'8.Non-elective admissions - CCG'!$D$5:$N$215,8,0)*$H178</f>
        <v>211.29188132027048</v>
      </c>
      <c r="P178" s="384">
        <f>VLOOKUP($A178,'8.Non-elective admissions - CCG'!$D$5:$N$215,9,0)*$H178</f>
        <v>222.04001383202637</v>
      </c>
      <c r="Q178" s="384">
        <f>VLOOKUP($A178,'8.Non-elective admissions - CCG'!$D$5:$N$215,10,0)*$H178</f>
        <v>233.25473343544527</v>
      </c>
      <c r="R178" s="384">
        <f>VLOOKUP($A178,'8.Non-elective admissions - CCG'!$D$5:$Q$215,11,0)*$H178</f>
        <v>231.72365457577726</v>
      </c>
      <c r="S178" s="384">
        <f>VLOOKUP($A178,'8.Non-elective admissions - CCG'!$D$5:$Q$215,12,0)*$H178</f>
        <v>218.25586282455228</v>
      </c>
      <c r="T178" s="384">
        <f>VLOOKUP($A178,'8.Non-elective admissions - CCG'!$D$5:$Q$215,13,0)*$H178</f>
        <v>229.46560444319655</v>
      </c>
      <c r="U178" s="384">
        <f>VLOOKUP($A178,'8.Non-elective admissions - CCG'!$D$5:$Q$215,14,0)*$H178</f>
        <v>241.05023827966488</v>
      </c>
    </row>
    <row r="179" spans="1:21">
      <c r="A179" s="395" t="s">
        <v>148</v>
      </c>
      <c r="B179" s="395" t="s">
        <v>147</v>
      </c>
      <c r="C179" s="395" t="s">
        <v>782</v>
      </c>
      <c r="D179" s="395" t="s">
        <v>462</v>
      </c>
      <c r="E179" s="537">
        <f>COUNTIF($D$5:D179,D179)</f>
        <v>3</v>
      </c>
      <c r="F179" s="537" t="str">
        <f t="shared" si="4"/>
        <v>Tower Hamlets3</v>
      </c>
      <c r="G179" s="541" t="str">
        <f t="shared" si="5"/>
        <v>NHS City and Hackney CCG</v>
      </c>
      <c r="H179" s="546">
        <v>7.8994164175624562E-3</v>
      </c>
      <c r="I179" s="546">
        <v>7.8252925866556348E-3</v>
      </c>
      <c r="J179" s="384">
        <f>VLOOKUP($A179,'8.Non-elective admissions - CCG'!$D$5:$N$215,3,0)*$H179</f>
        <v>47.17531484568299</v>
      </c>
      <c r="K179" s="384">
        <f>VLOOKUP($A179,'8.Non-elective admissions - CCG'!$D$5:$N$215,4,0)*$H179</f>
        <v>44.908182333842561</v>
      </c>
      <c r="L179" s="384">
        <f>VLOOKUP($A179,'8.Non-elective admissions - CCG'!$D$5:$N$215,5,0)*$H179</f>
        <v>45.642828060675875</v>
      </c>
      <c r="M179" s="384">
        <f>VLOOKUP($A179,'8.Non-elective admissions - CCG'!$D$5:$N$215,6,0)*$H179</f>
        <v>43.746968120460885</v>
      </c>
      <c r="N179" s="384">
        <f>VLOOKUP($A179,'8.Non-elective admissions - CCG'!$D$5:$N$215,7,0)*$H179</f>
        <v>55.949621242610917</v>
      </c>
      <c r="O179" s="384">
        <f>VLOOKUP($A179,'8.Non-elective admissions - CCG'!$D$5:$N$215,8,0)*$H179</f>
        <v>52.718462365026809</v>
      </c>
      <c r="P179" s="384">
        <f>VLOOKUP($A179,'8.Non-elective admissions - CCG'!$D$5:$N$215,9,0)*$H179</f>
        <v>55.400179313992069</v>
      </c>
      <c r="Q179" s="384">
        <f>VLOOKUP($A179,'8.Non-elective admissions - CCG'!$D$5:$N$215,10,0)*$H179</f>
        <v>58.19831225527156</v>
      </c>
      <c r="R179" s="384">
        <f>VLOOKUP($A179,'8.Non-elective admissions - CCG'!$D$5:$Q$215,11,0)*$H179</f>
        <v>57.816299833701287</v>
      </c>
      <c r="S179" s="384">
        <f>VLOOKUP($A179,'8.Non-elective admissions - CCG'!$D$5:$Q$215,12,0)*$H179</f>
        <v>54.456013256950271</v>
      </c>
      <c r="T179" s="384">
        <f>VLOOKUP($A179,'8.Non-elective admissions - CCG'!$D$5:$Q$215,13,0)*$H179</f>
        <v>57.25290416421808</v>
      </c>
      <c r="U179" s="384">
        <f>VLOOKUP($A179,'8.Non-elective admissions - CCG'!$D$5:$Q$215,14,0)*$H179</f>
        <v>60.143332698927146</v>
      </c>
    </row>
    <row r="180" spans="1:21">
      <c r="A180" s="395" t="s">
        <v>148</v>
      </c>
      <c r="B180" s="395" t="s">
        <v>147</v>
      </c>
      <c r="C180" s="395" t="s">
        <v>786</v>
      </c>
      <c r="D180" s="395" t="s">
        <v>474</v>
      </c>
      <c r="E180" s="537">
        <f>COUNTIF($D$5:D180,D180)</f>
        <v>1</v>
      </c>
      <c r="F180" s="537" t="str">
        <f t="shared" si="4"/>
        <v>Waltham Forest1</v>
      </c>
      <c r="G180" s="541" t="str">
        <f t="shared" si="5"/>
        <v>NHS City and Hackney CCG</v>
      </c>
      <c r="H180" s="546">
        <v>2.4220237121689299E-3</v>
      </c>
      <c r="I180" s="546">
        <v>2.4181192174465914E-3</v>
      </c>
      <c r="J180" s="384">
        <f>VLOOKUP($A180,'8.Non-elective admissions - CCG'!$D$5:$N$215,3,0)*$H180</f>
        <v>14.46432560907285</v>
      </c>
      <c r="K180" s="384">
        <f>VLOOKUP($A180,'8.Non-elective admissions - CCG'!$D$5:$N$215,4,0)*$H180</f>
        <v>13.769204803680367</v>
      </c>
      <c r="L180" s="384">
        <f>VLOOKUP($A180,'8.Non-elective admissions - CCG'!$D$5:$N$215,5,0)*$H180</f>
        <v>13.994453008912076</v>
      </c>
      <c r="M180" s="384">
        <f>VLOOKUP($A180,'8.Non-elective admissions - CCG'!$D$5:$N$215,6,0)*$H180</f>
        <v>13.413167317991533</v>
      </c>
      <c r="N180" s="384">
        <f>VLOOKUP($A180,'8.Non-elective admissions - CCG'!$D$5:$N$215,7,0)*$H180</f>
        <v>17.154597526368814</v>
      </c>
      <c r="O180" s="384">
        <f>VLOOKUP($A180,'8.Non-elective admissions - CCG'!$D$5:$N$215,8,0)*$H180</f>
        <v>16.163898592977386</v>
      </c>
      <c r="P180" s="384">
        <f>VLOOKUP($A180,'8.Non-elective admissions - CCG'!$D$5:$N$215,9,0)*$H180</f>
        <v>16.98613427424603</v>
      </c>
      <c r="Q180" s="384">
        <f>VLOOKUP($A180,'8.Non-elective admissions - CCG'!$D$5:$N$215,10,0)*$H180</f>
        <v>17.844064021880623</v>
      </c>
      <c r="R180" s="384">
        <f>VLOOKUP($A180,'8.Non-elective admissions - CCG'!$D$5:$Q$215,11,0)*$H180</f>
        <v>17.726935984253789</v>
      </c>
      <c r="S180" s="384">
        <f>VLOOKUP($A180,'8.Non-elective admissions - CCG'!$D$5:$Q$215,12,0)*$H180</f>
        <v>16.696645474377711</v>
      </c>
      <c r="T180" s="384">
        <f>VLOOKUP($A180,'8.Non-elective admissions - CCG'!$D$5:$Q$215,13,0)*$H180</f>
        <v>17.55419440453559</v>
      </c>
      <c r="U180" s="384">
        <f>VLOOKUP($A180,'8.Non-elective admissions - CCG'!$D$5:$Q$215,14,0)*$H180</f>
        <v>18.440422712975025</v>
      </c>
    </row>
    <row r="181" spans="1:21">
      <c r="A181" s="395" t="s">
        <v>152</v>
      </c>
      <c r="B181" s="395" t="s">
        <v>151</v>
      </c>
      <c r="C181" s="395" t="s">
        <v>664</v>
      </c>
      <c r="D181" s="395" t="s">
        <v>76</v>
      </c>
      <c r="E181" s="537">
        <f>COUNTIF($D$5:D181,D181)</f>
        <v>2</v>
      </c>
      <c r="F181" s="537" t="str">
        <f t="shared" si="4"/>
        <v>Brighton and Hove2</v>
      </c>
      <c r="G181" s="541" t="str">
        <f t="shared" si="5"/>
        <v>NHS Coastal West Sussex CCG</v>
      </c>
      <c r="H181" s="546">
        <v>9.1457027284008317E-4</v>
      </c>
      <c r="I181" s="546">
        <v>1.5161483153722079E-3</v>
      </c>
      <c r="J181" s="384">
        <f>VLOOKUP($A181,'8.Non-elective admissions - CCG'!$D$5:$N$215,3,0)*$H181</f>
        <v>10.77821066542038</v>
      </c>
      <c r="K181" s="384">
        <f>VLOOKUP($A181,'8.Non-elective admissions - CCG'!$D$5:$N$215,4,0)*$H181</f>
        <v>10.839486873700666</v>
      </c>
      <c r="L181" s="384">
        <f>VLOOKUP($A181,'8.Non-elective admissions - CCG'!$D$5:$N$215,5,0)*$H181</f>
        <v>11.55102254597025</v>
      </c>
      <c r="M181" s="384">
        <f>VLOOKUP($A181,'8.Non-elective admissions - CCG'!$D$5:$N$215,6,0)*$H181</f>
        <v>11.480600634961563</v>
      </c>
      <c r="N181" s="384">
        <f>VLOOKUP($A181,'8.Non-elective admissions - CCG'!$D$5:$N$215,7,0)*$H181</f>
        <v>10.241357915263251</v>
      </c>
      <c r="O181" s="384">
        <f>VLOOKUP($A181,'8.Non-elective admissions - CCG'!$D$5:$N$215,8,0)*$H181</f>
        <v>10.244101626081772</v>
      </c>
      <c r="P181" s="384">
        <f>VLOOKUP($A181,'8.Non-elective admissions - CCG'!$D$5:$N$215,9,0)*$H181</f>
        <v>10.604442313580764</v>
      </c>
      <c r="Q181" s="384">
        <f>VLOOKUP($A181,'8.Non-elective admissions - CCG'!$D$5:$N$215,10,0)*$H181</f>
        <v>10.422442829285588</v>
      </c>
      <c r="R181" s="384">
        <f>VLOOKUP($A181,'8.Non-elective admissions - CCG'!$D$5:$Q$215,11,0)*$H181</f>
        <v>10.029177611964352</v>
      </c>
      <c r="S181" s="384">
        <f>VLOOKUP($A181,'8.Non-elective admissions - CCG'!$D$5:$Q$215,12,0)*$H181</f>
        <v>10.031006752510033</v>
      </c>
      <c r="T181" s="384">
        <f>VLOOKUP($A181,'8.Non-elective admissions - CCG'!$D$5:$Q$215,13,0)*$H181</f>
        <v>10.365739472369503</v>
      </c>
      <c r="U181" s="384">
        <f>VLOOKUP($A181,'8.Non-elective admissions - CCG'!$D$5:$Q$215,14,0)*$H181</f>
        <v>10.321840099273178</v>
      </c>
    </row>
    <row r="182" spans="1:21">
      <c r="A182" s="395" t="s">
        <v>152</v>
      </c>
      <c r="B182" s="395" t="s">
        <v>151</v>
      </c>
      <c r="C182" s="395" t="s">
        <v>699</v>
      </c>
      <c r="D182" s="395" t="s">
        <v>205</v>
      </c>
      <c r="E182" s="537">
        <f>COUNTIF($D$5:D182,D182)</f>
        <v>2</v>
      </c>
      <c r="F182" s="537" t="str">
        <f t="shared" si="4"/>
        <v>Hampshire2</v>
      </c>
      <c r="G182" s="541" t="str">
        <f t="shared" si="5"/>
        <v>NHS Coastal West Sussex CCG</v>
      </c>
      <c r="H182" s="546">
        <v>2.2380783549016134E-3</v>
      </c>
      <c r="I182" s="546">
        <v>0</v>
      </c>
      <c r="J182" s="384">
        <f>VLOOKUP($A182,'8.Non-elective admissions - CCG'!$D$5:$N$215,3,0)*$H182</f>
        <v>26.375753412515515</v>
      </c>
      <c r="K182" s="384">
        <f>VLOOKUP($A182,'8.Non-elective admissions - CCG'!$D$5:$N$215,4,0)*$H182</f>
        <v>26.525704662293922</v>
      </c>
      <c r="L182" s="384">
        <f>VLOOKUP($A182,'8.Non-elective admissions - CCG'!$D$5:$N$215,5,0)*$H182</f>
        <v>28.266929622407378</v>
      </c>
      <c r="M182" s="384">
        <f>VLOOKUP($A182,'8.Non-elective admissions - CCG'!$D$5:$N$215,6,0)*$H182</f>
        <v>28.094597589079953</v>
      </c>
      <c r="N182" s="384">
        <f>VLOOKUP($A182,'8.Non-elective admissions - CCG'!$D$5:$N$215,7,0)*$H182</f>
        <v>25.062001418188267</v>
      </c>
      <c r="O182" s="384">
        <f>VLOOKUP($A182,'8.Non-elective admissions - CCG'!$D$5:$N$215,8,0)*$H182</f>
        <v>25.068715653252973</v>
      </c>
      <c r="P182" s="384">
        <f>VLOOKUP($A182,'8.Non-elective admissions - CCG'!$D$5:$N$215,9,0)*$H182</f>
        <v>25.950518525084206</v>
      </c>
      <c r="Q182" s="384">
        <f>VLOOKUP($A182,'8.Non-elective admissions - CCG'!$D$5:$N$215,10,0)*$H182</f>
        <v>25.505140932458787</v>
      </c>
      <c r="R182" s="384">
        <f>VLOOKUP($A182,'8.Non-elective admissions - CCG'!$D$5:$Q$215,11,0)*$H182</f>
        <v>24.542767239851091</v>
      </c>
      <c r="S182" s="384">
        <f>VLOOKUP($A182,'8.Non-elective admissions - CCG'!$D$5:$Q$215,12,0)*$H182</f>
        <v>24.547243396560894</v>
      </c>
      <c r="T182" s="384">
        <f>VLOOKUP($A182,'8.Non-elective admissions - CCG'!$D$5:$Q$215,13,0)*$H182</f>
        <v>25.366380074454888</v>
      </c>
      <c r="U182" s="384">
        <f>VLOOKUP($A182,'8.Non-elective admissions - CCG'!$D$5:$Q$215,14,0)*$H182</f>
        <v>25.258952313419609</v>
      </c>
    </row>
    <row r="183" spans="1:21">
      <c r="A183" s="395" t="s">
        <v>152</v>
      </c>
      <c r="B183" s="395" t="s">
        <v>151</v>
      </c>
      <c r="C183" s="395" t="s">
        <v>775</v>
      </c>
      <c r="D183" s="395" t="s">
        <v>441</v>
      </c>
      <c r="E183" s="537">
        <f>COUNTIF($D$5:D183,D183)</f>
        <v>3</v>
      </c>
      <c r="F183" s="537" t="str">
        <f t="shared" si="4"/>
        <v>Surrey3</v>
      </c>
      <c r="G183" s="541" t="str">
        <f t="shared" si="5"/>
        <v>NHS Coastal West Sussex CCG</v>
      </c>
      <c r="H183" s="546">
        <v>1.6840985640843823E-3</v>
      </c>
      <c r="I183" s="546">
        <v>0</v>
      </c>
      <c r="J183" s="384">
        <f>VLOOKUP($A183,'8.Non-elective admissions - CCG'!$D$5:$N$215,3,0)*$H183</f>
        <v>19.847101577734445</v>
      </c>
      <c r="K183" s="384">
        <f>VLOOKUP($A183,'8.Non-elective admissions - CCG'!$D$5:$N$215,4,0)*$H183</f>
        <v>19.9599361815281</v>
      </c>
      <c r="L183" s="384">
        <f>VLOOKUP($A183,'8.Non-elective admissions - CCG'!$D$5:$N$215,5,0)*$H183</f>
        <v>21.270164864385748</v>
      </c>
      <c r="M183" s="384">
        <f>VLOOKUP($A183,'8.Non-elective admissions - CCG'!$D$5:$N$215,6,0)*$H183</f>
        <v>21.14048927495125</v>
      </c>
      <c r="N183" s="384">
        <f>VLOOKUP($A183,'8.Non-elective admissions - CCG'!$D$5:$N$215,7,0)*$H183</f>
        <v>18.858535720616914</v>
      </c>
      <c r="O183" s="384">
        <f>VLOOKUP($A183,'8.Non-elective admissions - CCG'!$D$5:$N$215,8,0)*$H183</f>
        <v>18.863588016309166</v>
      </c>
      <c r="P183" s="384">
        <f>VLOOKUP($A183,'8.Non-elective admissions - CCG'!$D$5:$N$215,9,0)*$H183</f>
        <v>19.527122850558413</v>
      </c>
      <c r="Q183" s="384">
        <f>VLOOKUP($A183,'8.Non-elective admissions - CCG'!$D$5:$N$215,10,0)*$H183</f>
        <v>19.191987236305621</v>
      </c>
      <c r="R183" s="384">
        <f>VLOOKUP($A183,'8.Non-elective admissions - CCG'!$D$5:$Q$215,11,0)*$H183</f>
        <v>18.467824853749335</v>
      </c>
      <c r="S183" s="384">
        <f>VLOOKUP($A183,'8.Non-elective admissions - CCG'!$D$5:$Q$215,12,0)*$H183</f>
        <v>18.471193050877506</v>
      </c>
      <c r="T183" s="384">
        <f>VLOOKUP($A183,'8.Non-elective admissions - CCG'!$D$5:$Q$215,13,0)*$H183</f>
        <v>19.087573125332387</v>
      </c>
      <c r="U183" s="384">
        <f>VLOOKUP($A183,'8.Non-elective admissions - CCG'!$D$5:$Q$215,14,0)*$H183</f>
        <v>19.00673639425634</v>
      </c>
    </row>
    <row r="184" spans="1:21">
      <c r="A184" s="395" t="s">
        <v>152</v>
      </c>
      <c r="B184" s="395" t="s">
        <v>151</v>
      </c>
      <c r="C184" s="395" t="s">
        <v>791</v>
      </c>
      <c r="D184" s="395" t="s">
        <v>489</v>
      </c>
      <c r="E184" s="537">
        <f>COUNTIF($D$5:D184,D184)</f>
        <v>2</v>
      </c>
      <c r="F184" s="537" t="str">
        <f t="shared" si="4"/>
        <v>West Sussex2</v>
      </c>
      <c r="G184" s="541" t="str">
        <f t="shared" si="5"/>
        <v>NHS Coastal West Sussex CCG</v>
      </c>
      <c r="H184" s="546">
        <v>0.99516325280817397</v>
      </c>
      <c r="I184" s="546">
        <v>0.57699167345070002</v>
      </c>
      <c r="J184" s="384">
        <f>VLOOKUP($A184,'8.Non-elective admissions - CCG'!$D$5:$N$215,3,0)*$H184</f>
        <v>11727.99893434433</v>
      </c>
      <c r="K184" s="384">
        <f>VLOOKUP($A184,'8.Non-elective admissions - CCG'!$D$5:$N$215,4,0)*$H184</f>
        <v>11794.674872282478</v>
      </c>
      <c r="L184" s="384">
        <f>VLOOKUP($A184,'8.Non-elective admissions - CCG'!$D$5:$N$215,5,0)*$H184</f>
        <v>12568.911882967237</v>
      </c>
      <c r="M184" s="384">
        <f>VLOOKUP($A184,'8.Non-elective admissions - CCG'!$D$5:$N$215,6,0)*$H184</f>
        <v>12492.284312501008</v>
      </c>
      <c r="N184" s="384">
        <f>VLOOKUP($A184,'8.Non-elective admissions - CCG'!$D$5:$N$215,7,0)*$H184</f>
        <v>11143.838104945931</v>
      </c>
      <c r="O184" s="384">
        <f>VLOOKUP($A184,'8.Non-elective admissions - CCG'!$D$5:$N$215,8,0)*$H184</f>
        <v>11146.823594704356</v>
      </c>
      <c r="P184" s="384">
        <f>VLOOKUP($A184,'8.Non-elective admissions - CCG'!$D$5:$N$215,9,0)*$H184</f>
        <v>11538.917916310776</v>
      </c>
      <c r="Q184" s="384">
        <f>VLOOKUP($A184,'8.Non-elective admissions - CCG'!$D$5:$N$215,10,0)*$H184</f>
        <v>11340.880429001951</v>
      </c>
      <c r="R184" s="384">
        <f>VLOOKUP($A184,'8.Non-elective admissions - CCG'!$D$5:$Q$215,11,0)*$H184</f>
        <v>10912.960230294435</v>
      </c>
      <c r="S184" s="384">
        <f>VLOOKUP($A184,'8.Non-elective admissions - CCG'!$D$5:$Q$215,12,0)*$H184</f>
        <v>10914.950556800051</v>
      </c>
      <c r="T184" s="384">
        <f>VLOOKUP($A184,'8.Non-elective admissions - CCG'!$D$5:$Q$215,13,0)*$H184</f>
        <v>11279.180307327844</v>
      </c>
      <c r="U184" s="384">
        <f>VLOOKUP($A184,'8.Non-elective admissions - CCG'!$D$5:$Q$215,14,0)*$H184</f>
        <v>11231.412471193051</v>
      </c>
    </row>
    <row r="185" spans="1:21">
      <c r="A185" s="395" t="s">
        <v>156</v>
      </c>
      <c r="B185" s="395" t="s">
        <v>155</v>
      </c>
      <c r="C185" s="395" t="s">
        <v>721</v>
      </c>
      <c r="D185" s="395" t="s">
        <v>279</v>
      </c>
      <c r="E185" s="537">
        <f>COUNTIF($D$5:D185,D185)</f>
        <v>1</v>
      </c>
      <c r="F185" s="537" t="str">
        <f t="shared" si="4"/>
        <v>Leicestershire1</v>
      </c>
      <c r="G185" s="541" t="str">
        <f t="shared" si="5"/>
        <v>NHS Corby CCG</v>
      </c>
      <c r="H185" s="546">
        <v>6.8784892135915644E-3</v>
      </c>
      <c r="I185" s="546">
        <v>0</v>
      </c>
      <c r="J185" s="384">
        <f>VLOOKUP($A185,'8.Non-elective admissions - CCG'!$D$5:$N$215,3,0)*$H185</f>
        <v>10.138893100833966</v>
      </c>
      <c r="K185" s="384">
        <f>VLOOKUP($A185,'8.Non-elective admissions - CCG'!$D$5:$N$215,4,0)*$H185</f>
        <v>10.998704252532912</v>
      </c>
      <c r="L185" s="384">
        <f>VLOOKUP($A185,'8.Non-elective admissions - CCG'!$D$5:$N$215,5,0)*$H185</f>
        <v>10.923040871183405</v>
      </c>
      <c r="M185" s="384">
        <f>VLOOKUP($A185,'8.Non-elective admissions - CCG'!$D$5:$N$215,6,0)*$H185</f>
        <v>10.81298504376594</v>
      </c>
      <c r="N185" s="384">
        <f>VLOOKUP($A185,'8.Non-elective admissions - CCG'!$D$5:$N$215,7,0)*$H185</f>
        <v>10.524088496795093</v>
      </c>
      <c r="O185" s="384">
        <f>VLOOKUP($A185,'8.Non-elective admissions - CCG'!$D$5:$N$215,8,0)*$H185</f>
        <v>11.624646770969743</v>
      </c>
      <c r="P185" s="384">
        <f>VLOOKUP($A185,'8.Non-elective admissions - CCG'!$D$5:$N$215,9,0)*$H185</f>
        <v>11.260086842649391</v>
      </c>
      <c r="Q185" s="384">
        <f>VLOOKUP($A185,'8.Non-elective admissions - CCG'!$D$5:$N$215,10,0)*$H185</f>
        <v>11.108760079950377</v>
      </c>
      <c r="R185" s="384">
        <f>VLOOKUP($A185,'8.Non-elective admissions - CCG'!$D$5:$Q$215,11,0)*$H185</f>
        <v>10.5997518781446</v>
      </c>
      <c r="S185" s="384">
        <f>VLOOKUP($A185,'8.Non-elective admissions - CCG'!$D$5:$Q$215,12,0)*$H185</f>
        <v>11.865393893445448</v>
      </c>
      <c r="T185" s="384">
        <f>VLOOKUP($A185,'8.Non-elective admissions - CCG'!$D$5:$Q$215,13,0)*$H185</f>
        <v>11.493955475911504</v>
      </c>
      <c r="U185" s="384">
        <f>VLOOKUP($A185,'8.Non-elective admissions - CCG'!$D$5:$Q$215,14,0)*$H185</f>
        <v>11.34950720242608</v>
      </c>
    </row>
    <row r="186" spans="1:21">
      <c r="A186" s="395" t="s">
        <v>156</v>
      </c>
      <c r="B186" s="395" t="s">
        <v>155</v>
      </c>
      <c r="C186" s="395" t="s">
        <v>739</v>
      </c>
      <c r="D186" s="395" t="s">
        <v>333</v>
      </c>
      <c r="E186" s="537">
        <f>COUNTIF($D$5:D186,D186)</f>
        <v>4</v>
      </c>
      <c r="F186" s="537" t="str">
        <f t="shared" si="4"/>
        <v>Northamptonshire4</v>
      </c>
      <c r="G186" s="541" t="str">
        <f t="shared" si="5"/>
        <v>NHS Corby CCG</v>
      </c>
      <c r="H186" s="546">
        <v>0.99011647942656278</v>
      </c>
      <c r="I186" s="546">
        <v>9.5535776038646325E-2</v>
      </c>
      <c r="J186" s="384">
        <f>VLOOKUP($A186,'8.Non-elective admissions - CCG'!$D$5:$N$215,3,0)*$H186</f>
        <v>1459.4316906747536</v>
      </c>
      <c r="K186" s="384">
        <f>VLOOKUP($A186,'8.Non-elective admissions - CCG'!$D$5:$N$215,4,0)*$H186</f>
        <v>1583.1962506030738</v>
      </c>
      <c r="L186" s="384">
        <f>VLOOKUP($A186,'8.Non-elective admissions - CCG'!$D$5:$N$215,5,0)*$H186</f>
        <v>1572.3049693293817</v>
      </c>
      <c r="M186" s="384">
        <f>VLOOKUP($A186,'8.Non-elective admissions - CCG'!$D$5:$N$215,6,0)*$H186</f>
        <v>1556.4631056585567</v>
      </c>
      <c r="N186" s="384">
        <f>VLOOKUP($A186,'8.Non-elective admissions - CCG'!$D$5:$N$215,7,0)*$H186</f>
        <v>1514.8782135226411</v>
      </c>
      <c r="O186" s="384">
        <f>VLOOKUP($A186,'8.Non-elective admissions - CCG'!$D$5:$N$215,8,0)*$H186</f>
        <v>1673.2968502308911</v>
      </c>
      <c r="P186" s="384">
        <f>VLOOKUP($A186,'8.Non-elective admissions - CCG'!$D$5:$N$215,9,0)*$H186</f>
        <v>1620.8206768212833</v>
      </c>
      <c r="Q186" s="384">
        <f>VLOOKUP($A186,'8.Non-elective admissions - CCG'!$D$5:$N$215,10,0)*$H186</f>
        <v>1599.0381142738988</v>
      </c>
      <c r="R186" s="384">
        <f>VLOOKUP($A186,'8.Non-elective admissions - CCG'!$D$5:$Q$215,11,0)*$H186</f>
        <v>1525.7694947963332</v>
      </c>
      <c r="S186" s="384">
        <f>VLOOKUP($A186,'8.Non-elective admissions - CCG'!$D$5:$Q$215,12,0)*$H186</f>
        <v>1707.9509270108208</v>
      </c>
      <c r="T186" s="384">
        <f>VLOOKUP($A186,'8.Non-elective admissions - CCG'!$D$5:$Q$215,13,0)*$H186</f>
        <v>1654.4846371217864</v>
      </c>
      <c r="U186" s="384">
        <f>VLOOKUP($A186,'8.Non-elective admissions - CCG'!$D$5:$Q$215,14,0)*$H186</f>
        <v>1633.6921910538285</v>
      </c>
    </row>
    <row r="187" spans="1:21">
      <c r="A187" s="395" t="s">
        <v>156</v>
      </c>
      <c r="B187" s="395" t="s">
        <v>155</v>
      </c>
      <c r="C187" s="395" t="s">
        <v>754</v>
      </c>
      <c r="D187" s="395" t="s">
        <v>378</v>
      </c>
      <c r="E187" s="537">
        <f>COUNTIF($D$5:D187,D187)</f>
        <v>2</v>
      </c>
      <c r="F187" s="537" t="str">
        <f t="shared" si="4"/>
        <v>Rutland2</v>
      </c>
      <c r="G187" s="541" t="str">
        <f t="shared" si="5"/>
        <v>NHS Corby CCG</v>
      </c>
      <c r="H187" s="546">
        <v>3.005031359845613E-3</v>
      </c>
      <c r="I187" s="546">
        <v>5.9597036551026555E-3</v>
      </c>
      <c r="J187" s="384">
        <f>VLOOKUP($A187,'8.Non-elective admissions - CCG'!$D$5:$N$215,3,0)*$H187</f>
        <v>4.4294162244124333</v>
      </c>
      <c r="K187" s="384">
        <f>VLOOKUP($A187,'8.Non-elective admissions - CCG'!$D$5:$N$215,4,0)*$H187</f>
        <v>4.8050451443931355</v>
      </c>
      <c r="L187" s="384">
        <f>VLOOKUP($A187,'8.Non-elective admissions - CCG'!$D$5:$N$215,5,0)*$H187</f>
        <v>4.7719897994348335</v>
      </c>
      <c r="M187" s="384">
        <f>VLOOKUP($A187,'8.Non-elective admissions - CCG'!$D$5:$N$215,6,0)*$H187</f>
        <v>4.7239092976773032</v>
      </c>
      <c r="N187" s="384">
        <f>VLOOKUP($A187,'8.Non-elective admissions - CCG'!$D$5:$N$215,7,0)*$H187</f>
        <v>4.5976979805637876</v>
      </c>
      <c r="O187" s="384">
        <f>VLOOKUP($A187,'8.Non-elective admissions - CCG'!$D$5:$N$215,8,0)*$H187</f>
        <v>5.0785029981390863</v>
      </c>
      <c r="P187" s="384">
        <f>VLOOKUP($A187,'8.Non-elective admissions - CCG'!$D$5:$N$215,9,0)*$H187</f>
        <v>4.9192363360672688</v>
      </c>
      <c r="Q187" s="384">
        <f>VLOOKUP($A187,'8.Non-elective admissions - CCG'!$D$5:$N$215,10,0)*$H187</f>
        <v>4.8531256461506649</v>
      </c>
      <c r="R187" s="384">
        <f>VLOOKUP($A187,'8.Non-elective admissions - CCG'!$D$5:$Q$215,11,0)*$H187</f>
        <v>4.6307533255220896</v>
      </c>
      <c r="S187" s="384">
        <f>VLOOKUP($A187,'8.Non-elective admissions - CCG'!$D$5:$Q$215,12,0)*$H187</f>
        <v>5.183679095733682</v>
      </c>
      <c r="T187" s="384">
        <f>VLOOKUP($A187,'8.Non-elective admissions - CCG'!$D$5:$Q$215,13,0)*$H187</f>
        <v>5.0214074023020192</v>
      </c>
      <c r="U187" s="384">
        <f>VLOOKUP($A187,'8.Non-elective admissions - CCG'!$D$5:$Q$215,14,0)*$H187</f>
        <v>4.9583017437452614</v>
      </c>
    </row>
    <row r="188" spans="1:21">
      <c r="A188" s="395" t="s">
        <v>160</v>
      </c>
      <c r="B188" s="395" t="s">
        <v>159</v>
      </c>
      <c r="C188" s="395" t="s">
        <v>678</v>
      </c>
      <c r="D188" s="395" t="s">
        <v>128</v>
      </c>
      <c r="E188" s="537">
        <f>COUNTIF($D$5:D188,D188)</f>
        <v>1</v>
      </c>
      <c r="F188" s="537" t="str">
        <f t="shared" si="4"/>
        <v>Coventry1</v>
      </c>
      <c r="G188" s="541" t="str">
        <f t="shared" si="5"/>
        <v>NHS Coventry and Rugby CCG</v>
      </c>
      <c r="H188" s="546">
        <v>0.73949489702570104</v>
      </c>
      <c r="I188" s="546">
        <v>0.99877579771974578</v>
      </c>
      <c r="J188" s="384">
        <f>VLOOKUP($A188,'8.Non-elective admissions - CCG'!$D$5:$N$215,3,0)*$H188</f>
        <v>8107.8220509897865</v>
      </c>
      <c r="K188" s="384">
        <f>VLOOKUP($A188,'8.Non-elective admissions - CCG'!$D$5:$N$215,4,0)*$H188</f>
        <v>7956.2255970995175</v>
      </c>
      <c r="L188" s="384">
        <f>VLOOKUP($A188,'8.Non-elective admissions - CCG'!$D$5:$N$215,5,0)*$H188</f>
        <v>8354.0738516993442</v>
      </c>
      <c r="M188" s="384">
        <f>VLOOKUP($A188,'8.Non-elective admissions - CCG'!$D$5:$N$215,6,0)*$H188</f>
        <v>8134.4438672827118</v>
      </c>
      <c r="N188" s="384">
        <f>VLOOKUP($A188,'8.Non-elective admissions - CCG'!$D$5:$N$215,7,0)*$H188</f>
        <v>7883.4341772424368</v>
      </c>
      <c r="O188" s="384">
        <f>VLOOKUP($A188,'8.Non-elective admissions - CCG'!$D$5:$N$215,8,0)*$H188</f>
        <v>7970.0653220238464</v>
      </c>
      <c r="P188" s="384">
        <f>VLOOKUP($A188,'8.Non-elective admissions - CCG'!$D$5:$N$215,9,0)*$H188</f>
        <v>7970.0653220238464</v>
      </c>
      <c r="Q188" s="384">
        <f>VLOOKUP($A188,'8.Non-elective admissions - CCG'!$D$5:$N$215,10,0)*$H188</f>
        <v>7796.8030324469773</v>
      </c>
      <c r="R188" s="384">
        <f>VLOOKUP($A188,'8.Non-elective admissions - CCG'!$D$5:$Q$215,11,0)*$H188</f>
        <v>7543.5663776910042</v>
      </c>
      <c r="S188" s="384">
        <f>VLOOKUP($A188,'8.Non-elective admissions - CCG'!$D$5:$Q$215,12,0)*$H188</f>
        <v>7626.4627115791436</v>
      </c>
      <c r="T188" s="384">
        <f>VLOOKUP($A188,'8.Non-elective admissions - CCG'!$D$5:$Q$215,13,0)*$H188</f>
        <v>7626.4627115791436</v>
      </c>
      <c r="U188" s="384">
        <f>VLOOKUP($A188,'8.Non-elective admissions - CCG'!$D$5:$Q$215,14,0)*$H188</f>
        <v>7543.5663777649534</v>
      </c>
    </row>
    <row r="189" spans="1:21">
      <c r="A189" s="395" t="s">
        <v>160</v>
      </c>
      <c r="B189" s="395" t="s">
        <v>159</v>
      </c>
      <c r="C189" s="395" t="s">
        <v>739</v>
      </c>
      <c r="D189" s="395" t="s">
        <v>333</v>
      </c>
      <c r="E189" s="537">
        <f>COUNTIF($D$5:D189,D189)</f>
        <v>5</v>
      </c>
      <c r="F189" s="537" t="str">
        <f t="shared" si="4"/>
        <v>Northamptonshire5</v>
      </c>
      <c r="G189" s="541" t="str">
        <f t="shared" si="5"/>
        <v>NHS Coventry and Rugby CCG</v>
      </c>
      <c r="H189" s="546">
        <v>3.2617816351809751E-3</v>
      </c>
      <c r="I189" s="546">
        <v>2.0629279478189626E-3</v>
      </c>
      <c r="J189" s="384">
        <f>VLOOKUP($A189,'8.Non-elective admissions - CCG'!$D$5:$N$215,3,0)*$H189</f>
        <v>35.762173848124213</v>
      </c>
      <c r="K189" s="384">
        <f>VLOOKUP($A189,'8.Non-elective admissions - CCG'!$D$5:$N$215,4,0)*$H189</f>
        <v>35.09350861291211</v>
      </c>
      <c r="L189" s="384">
        <f>VLOOKUP($A189,'8.Non-elective admissions - CCG'!$D$5:$N$215,5,0)*$H189</f>
        <v>36.848347132639475</v>
      </c>
      <c r="M189" s="384">
        <f>VLOOKUP($A189,'8.Non-elective admissions - CCG'!$D$5:$N$215,6,0)*$H189</f>
        <v>35.879597986990724</v>
      </c>
      <c r="N189" s="384">
        <f>VLOOKUP($A189,'8.Non-elective admissions - CCG'!$D$5:$N$215,7,0)*$H189</f>
        <v>34.77243849134193</v>
      </c>
      <c r="O189" s="384">
        <f>VLOOKUP($A189,'8.Non-elective admissions - CCG'!$D$5:$N$215,8,0)*$H189</f>
        <v>35.154553199934547</v>
      </c>
      <c r="P189" s="384">
        <f>VLOOKUP($A189,'8.Non-elective admissions - CCG'!$D$5:$N$215,9,0)*$H189</f>
        <v>35.154553199934547</v>
      </c>
      <c r="Q189" s="384">
        <f>VLOOKUP($A189,'8.Non-elective admissions - CCG'!$D$5:$N$215,10,0)*$H189</f>
        <v>34.390323782687332</v>
      </c>
      <c r="R189" s="384">
        <f>VLOOKUP($A189,'8.Non-elective admissions - CCG'!$D$5:$Q$215,11,0)*$H189</f>
        <v>33.273341538239215</v>
      </c>
      <c r="S189" s="384">
        <f>VLOOKUP($A189,'8.Non-elective admissions - CCG'!$D$5:$Q$215,12,0)*$H189</f>
        <v>33.638982654341149</v>
      </c>
      <c r="T189" s="384">
        <f>VLOOKUP($A189,'8.Non-elective admissions - CCG'!$D$5:$Q$215,13,0)*$H189</f>
        <v>33.638982654341149</v>
      </c>
      <c r="U189" s="384">
        <f>VLOOKUP($A189,'8.Non-elective admissions - CCG'!$D$5:$Q$215,14,0)*$H189</f>
        <v>33.27334153856539</v>
      </c>
    </row>
    <row r="190" spans="1:21">
      <c r="A190" s="395" t="s">
        <v>160</v>
      </c>
      <c r="B190" s="395" t="s">
        <v>159</v>
      </c>
      <c r="C190" s="395" t="s">
        <v>789</v>
      </c>
      <c r="D190" s="395" t="s">
        <v>483</v>
      </c>
      <c r="E190" s="537">
        <f>COUNTIF($D$5:D190,D190)</f>
        <v>2</v>
      </c>
      <c r="F190" s="537" t="str">
        <f t="shared" si="4"/>
        <v>Warwickshire2</v>
      </c>
      <c r="G190" s="541" t="str">
        <f t="shared" si="5"/>
        <v>NHS Coventry and Rugby CCG</v>
      </c>
      <c r="H190" s="546">
        <v>0.25724332133911804</v>
      </c>
      <c r="I190" s="546">
        <v>0.21289953145777205</v>
      </c>
      <c r="J190" s="384">
        <f>VLOOKUP($A190,'8.Non-elective admissions - CCG'!$D$5:$N$215,3,0)*$H190</f>
        <v>2820.4157751620901</v>
      </c>
      <c r="K190" s="384">
        <f>VLOOKUP($A190,'8.Non-elective admissions - CCG'!$D$5:$N$215,4,0)*$H190</f>
        <v>2767.6808942875709</v>
      </c>
      <c r="L190" s="384">
        <f>VLOOKUP($A190,'8.Non-elective admissions - CCG'!$D$5:$N$215,5,0)*$H190</f>
        <v>2906.0778011680163</v>
      </c>
      <c r="M190" s="384">
        <f>VLOOKUP($A190,'8.Non-elective admissions - CCG'!$D$5:$N$215,6,0)*$H190</f>
        <v>2829.6765347302985</v>
      </c>
      <c r="N190" s="384">
        <f>VLOOKUP($A190,'8.Non-elective admissions - CCG'!$D$5:$N$215,7,0)*$H190</f>
        <v>2742.3594124432211</v>
      </c>
      <c r="O190" s="384">
        <f>VLOOKUP($A190,'8.Non-elective admissions - CCG'!$D$5:$N$215,8,0)*$H190</f>
        <v>2772.4952301542194</v>
      </c>
      <c r="P190" s="384">
        <f>VLOOKUP($A190,'8.Non-elective admissions - CCG'!$D$5:$N$215,9,0)*$H190</f>
        <v>2772.4952301542194</v>
      </c>
      <c r="Q190" s="384">
        <f>VLOOKUP($A190,'8.Non-elective admissions - CCG'!$D$5:$N$215,10,0)*$H190</f>
        <v>2712.2235947273357</v>
      </c>
      <c r="R190" s="384">
        <f>VLOOKUP($A190,'8.Non-elective admissions - CCG'!$D$5:$Q$215,11,0)*$H190</f>
        <v>2624.1317925847579</v>
      </c>
      <c r="S190" s="384">
        <f>VLOOKUP($A190,'8.Non-elective admissions - CCG'!$D$5:$Q$215,12,0)*$H190</f>
        <v>2652.9684057135164</v>
      </c>
      <c r="T190" s="384">
        <f>VLOOKUP($A190,'8.Non-elective admissions - CCG'!$D$5:$Q$215,13,0)*$H190</f>
        <v>2652.9684057135164</v>
      </c>
      <c r="U190" s="384">
        <f>VLOOKUP($A190,'8.Non-elective admissions - CCG'!$D$5:$Q$215,14,0)*$H190</f>
        <v>2624.1317926104821</v>
      </c>
    </row>
    <row r="191" spans="1:21">
      <c r="A191" s="395" t="s">
        <v>164</v>
      </c>
      <c r="B191" s="395" t="s">
        <v>163</v>
      </c>
      <c r="C191" s="395" t="s">
        <v>775</v>
      </c>
      <c r="D191" s="395" t="s">
        <v>441</v>
      </c>
      <c r="E191" s="537">
        <f>COUNTIF($D$5:D191,D191)</f>
        <v>4</v>
      </c>
      <c r="F191" s="537" t="str">
        <f t="shared" si="4"/>
        <v>Surrey4</v>
      </c>
      <c r="G191" s="541" t="str">
        <f t="shared" si="5"/>
        <v>NHS Crawley CCG</v>
      </c>
      <c r="H191" s="546">
        <v>6.5852557516889274E-2</v>
      </c>
      <c r="I191" s="546">
        <v>6.9771660880536338E-3</v>
      </c>
      <c r="J191" s="384">
        <f>VLOOKUP($A191,'8.Non-elective admissions - CCG'!$D$5:$N$215,3,0)*$H191</f>
        <v>199.66495439120828</v>
      </c>
      <c r="K191" s="384">
        <f>VLOOKUP($A191,'8.Non-elective admissions - CCG'!$D$5:$N$215,4,0)*$H191</f>
        <v>204.40633853242431</v>
      </c>
      <c r="L191" s="384">
        <f>VLOOKUP($A191,'8.Non-elective admissions - CCG'!$D$5:$N$215,5,0)*$H191</f>
        <v>202.36490924940074</v>
      </c>
      <c r="M191" s="384">
        <f>VLOOKUP($A191,'8.Non-elective admissions - CCG'!$D$5:$N$215,6,0)*$H191</f>
        <v>197.88693533825227</v>
      </c>
      <c r="N191" s="384">
        <f>VLOOKUP($A191,'8.Non-elective admissions - CCG'!$D$5:$N$215,7,0)*$H191</f>
        <v>189.91877587870866</v>
      </c>
      <c r="O191" s="384">
        <f>VLOOKUP($A191,'8.Non-elective admissions - CCG'!$D$5:$N$215,8,0)*$H191</f>
        <v>188.53587217085399</v>
      </c>
      <c r="P191" s="384">
        <f>VLOOKUP($A191,'8.Non-elective admissions - CCG'!$D$5:$N$215,9,0)*$H191</f>
        <v>192.8162884094518</v>
      </c>
      <c r="Q191" s="384">
        <f>VLOOKUP($A191,'8.Non-elective admissions - CCG'!$D$5:$N$215,10,0)*$H191</f>
        <v>189.06269263098909</v>
      </c>
      <c r="R191" s="384">
        <f>VLOOKUP($A191,'8.Non-elective admissions - CCG'!$D$5:$Q$215,11,0)*$H191</f>
        <v>178.65798854332061</v>
      </c>
      <c r="S191" s="384">
        <f>VLOOKUP($A191,'8.Non-elective admissions - CCG'!$D$5:$Q$215,12,0)*$H191</f>
        <v>177.27508483546592</v>
      </c>
      <c r="T191" s="384">
        <f>VLOOKUP($A191,'8.Non-elective admissions - CCG'!$D$5:$Q$215,13,0)*$H191</f>
        <v>181.29209084399616</v>
      </c>
      <c r="U191" s="384">
        <f>VLOOKUP($A191,'8.Non-elective admissions - CCG'!$D$5:$Q$215,14,0)*$H191</f>
        <v>180.04089225117528</v>
      </c>
    </row>
    <row r="192" spans="1:21">
      <c r="A192" s="395" t="s">
        <v>164</v>
      </c>
      <c r="B192" s="395" t="s">
        <v>163</v>
      </c>
      <c r="C192" s="395" t="s">
        <v>791</v>
      </c>
      <c r="D192" s="395" t="s">
        <v>489</v>
      </c>
      <c r="E192" s="537">
        <f>COUNTIF($D$5:D192,D192)</f>
        <v>3</v>
      </c>
      <c r="F192" s="537" t="str">
        <f t="shared" si="4"/>
        <v>West Sussex3</v>
      </c>
      <c r="G192" s="541" t="str">
        <f t="shared" si="5"/>
        <v>NHS Crawley CCG</v>
      </c>
      <c r="H192" s="546">
        <v>0.93414744248311077</v>
      </c>
      <c r="I192" s="546">
        <v>0.14018479823681318</v>
      </c>
      <c r="J192" s="384">
        <f>VLOOKUP($A192,'8.Non-elective admissions - CCG'!$D$5:$N$215,3,0)*$H192</f>
        <v>2832.3350456087919</v>
      </c>
      <c r="K192" s="384">
        <f>VLOOKUP($A192,'8.Non-elective admissions - CCG'!$D$5:$N$215,4,0)*$H192</f>
        <v>2899.5936614675757</v>
      </c>
      <c r="L192" s="384">
        <f>VLOOKUP($A192,'8.Non-elective admissions - CCG'!$D$5:$N$215,5,0)*$H192</f>
        <v>2870.6350907505994</v>
      </c>
      <c r="M192" s="384">
        <f>VLOOKUP($A192,'8.Non-elective admissions - CCG'!$D$5:$N$215,6,0)*$H192</f>
        <v>2807.113064661748</v>
      </c>
      <c r="N192" s="384">
        <f>VLOOKUP($A192,'8.Non-elective admissions - CCG'!$D$5:$N$215,7,0)*$H192</f>
        <v>2694.0812241212916</v>
      </c>
      <c r="O192" s="384">
        <f>VLOOKUP($A192,'8.Non-elective admissions - CCG'!$D$5:$N$215,8,0)*$H192</f>
        <v>2674.464127829146</v>
      </c>
      <c r="P192" s="384">
        <f>VLOOKUP($A192,'8.Non-elective admissions - CCG'!$D$5:$N$215,9,0)*$H192</f>
        <v>2735.1837115905482</v>
      </c>
      <c r="Q192" s="384">
        <f>VLOOKUP($A192,'8.Non-elective admissions - CCG'!$D$5:$N$215,10,0)*$H192</f>
        <v>2681.9373073690108</v>
      </c>
      <c r="R192" s="384">
        <f>VLOOKUP($A192,'8.Non-elective admissions - CCG'!$D$5:$Q$215,11,0)*$H192</f>
        <v>2534.3420114566793</v>
      </c>
      <c r="S192" s="384">
        <f>VLOOKUP($A192,'8.Non-elective admissions - CCG'!$D$5:$Q$215,12,0)*$H192</f>
        <v>2514.7249151645342</v>
      </c>
      <c r="T192" s="384">
        <f>VLOOKUP($A192,'8.Non-elective admissions - CCG'!$D$5:$Q$215,13,0)*$H192</f>
        <v>2571.707909156004</v>
      </c>
      <c r="U192" s="384">
        <f>VLOOKUP($A192,'8.Non-elective admissions - CCG'!$D$5:$Q$215,14,0)*$H192</f>
        <v>2553.9591077488249</v>
      </c>
    </row>
    <row r="193" spans="1:21">
      <c r="A193" s="395" t="s">
        <v>168</v>
      </c>
      <c r="B193" s="395" t="s">
        <v>167</v>
      </c>
      <c r="C193" s="395" t="s">
        <v>666</v>
      </c>
      <c r="D193" s="395" t="s">
        <v>83</v>
      </c>
      <c r="E193" s="537">
        <f>COUNTIF($D$5:D193,D193)</f>
        <v>3</v>
      </c>
      <c r="F193" s="537" t="str">
        <f t="shared" si="4"/>
        <v>Bromley3</v>
      </c>
      <c r="G193" s="541" t="str">
        <f t="shared" si="5"/>
        <v>NHS Croydon CCG</v>
      </c>
      <c r="H193" s="546">
        <v>9.6568865335089592E-3</v>
      </c>
      <c r="I193" s="546">
        <v>1.1575905127439603E-2</v>
      </c>
      <c r="J193" s="384">
        <f>VLOOKUP($A193,'8.Non-elective admissions - CCG'!$D$5:$N$215,3,0)*$H193</f>
        <v>85.859378169428155</v>
      </c>
      <c r="K193" s="384">
        <f>VLOOKUP($A193,'8.Non-elective admissions - CCG'!$D$5:$N$215,4,0)*$H193</f>
        <v>87.539676426258708</v>
      </c>
      <c r="L193" s="384">
        <f>VLOOKUP($A193,'8.Non-elective admissions - CCG'!$D$5:$N$215,5,0)*$H193</f>
        <v>88.099775845202231</v>
      </c>
      <c r="M193" s="384">
        <f>VLOOKUP($A193,'8.Non-elective admissions - CCG'!$D$5:$N$215,6,0)*$H193</f>
        <v>87.317568035988003</v>
      </c>
      <c r="N193" s="384">
        <f>VLOOKUP($A193,'8.Non-elective admissions - CCG'!$D$5:$N$215,7,0)*$H193</f>
        <v>79.611372582247853</v>
      </c>
      <c r="O193" s="384">
        <f>VLOOKUP($A193,'8.Non-elective admissions - CCG'!$D$5:$N$215,8,0)*$H193</f>
        <v>81.214415746810346</v>
      </c>
      <c r="P193" s="384">
        <f>VLOOKUP($A193,'8.Non-elective admissions - CCG'!$D$5:$N$215,9,0)*$H193</f>
        <v>80.886081604671048</v>
      </c>
      <c r="Q193" s="384">
        <f>VLOOKUP($A193,'8.Non-elective admissions - CCG'!$D$5:$N$215,10,0)*$H193</f>
        <v>82.566379861501602</v>
      </c>
      <c r="R193" s="384">
        <f>VLOOKUP($A193,'8.Non-elective admissions - CCG'!$D$5:$Q$215,11,0)*$H193</f>
        <v>82.315300811630365</v>
      </c>
      <c r="S193" s="384">
        <f>VLOOKUP($A193,'8.Non-elective admissions - CCG'!$D$5:$Q$215,12,0)*$H193</f>
        <v>83.976285295393907</v>
      </c>
      <c r="T193" s="384">
        <f>VLOOKUP($A193,'8.Non-elective admissions - CCG'!$D$5:$Q$215,13,0)*$H193</f>
        <v>83.618980493654078</v>
      </c>
      <c r="U193" s="384">
        <f>VLOOKUP($A193,'8.Non-elective admissions - CCG'!$D$5:$Q$215,14,0)*$H193</f>
        <v>85.357220069685695</v>
      </c>
    </row>
    <row r="194" spans="1:21">
      <c r="A194" s="395" t="s">
        <v>168</v>
      </c>
      <c r="B194" s="395" t="s">
        <v>167</v>
      </c>
      <c r="C194" s="395" t="s">
        <v>679</v>
      </c>
      <c r="D194" s="395" t="s">
        <v>132</v>
      </c>
      <c r="E194" s="537">
        <f>COUNTIF($D$5:D194,D194)</f>
        <v>2</v>
      </c>
      <c r="F194" s="537" t="str">
        <f t="shared" si="4"/>
        <v>Croydon2</v>
      </c>
      <c r="G194" s="541" t="str">
        <f t="shared" si="5"/>
        <v>NHS Croydon CCG</v>
      </c>
      <c r="H194" s="546">
        <v>0.95715639226319305</v>
      </c>
      <c r="I194" s="546">
        <v>0.94000065562030499</v>
      </c>
      <c r="J194" s="384">
        <f>VLOOKUP($A194,'8.Non-elective admissions - CCG'!$D$5:$N$215,3,0)*$H194</f>
        <v>8510.077483612049</v>
      </c>
      <c r="K194" s="384">
        <f>VLOOKUP($A194,'8.Non-elective admissions - CCG'!$D$5:$N$215,4,0)*$H194</f>
        <v>8676.6226958658444</v>
      </c>
      <c r="L194" s="384">
        <f>VLOOKUP($A194,'8.Non-elective admissions - CCG'!$D$5:$N$215,5,0)*$H194</f>
        <v>8732.1377666171102</v>
      </c>
      <c r="M194" s="384">
        <f>VLOOKUP($A194,'8.Non-elective admissions - CCG'!$D$5:$N$215,6,0)*$H194</f>
        <v>8654.6080988437916</v>
      </c>
      <c r="N194" s="384">
        <f>VLOOKUP($A194,'8.Non-elective admissions - CCG'!$D$5:$N$215,7,0)*$H194</f>
        <v>7890.7972978177631</v>
      </c>
      <c r="O194" s="384">
        <f>VLOOKUP($A194,'8.Non-elective admissions - CCG'!$D$5:$N$215,8,0)*$H194</f>
        <v>8049.685258933454</v>
      </c>
      <c r="P194" s="384">
        <f>VLOOKUP($A194,'8.Non-elective admissions - CCG'!$D$5:$N$215,9,0)*$H194</f>
        <v>8017.1419415965047</v>
      </c>
      <c r="Q194" s="384">
        <f>VLOOKUP($A194,'8.Non-elective admissions - CCG'!$D$5:$N$215,10,0)*$H194</f>
        <v>8183.6871538503001</v>
      </c>
      <c r="R194" s="384">
        <f>VLOOKUP($A194,'8.Non-elective admissions - CCG'!$D$5:$Q$215,11,0)*$H194</f>
        <v>8158.8010876514572</v>
      </c>
      <c r="S194" s="384">
        <f>VLOOKUP($A194,'8.Non-elective admissions - CCG'!$D$5:$Q$215,12,0)*$H194</f>
        <v>8323.4319871207263</v>
      </c>
      <c r="T194" s="384">
        <f>VLOOKUP($A194,'8.Non-elective admissions - CCG'!$D$5:$Q$215,13,0)*$H194</f>
        <v>8288.0172006069879</v>
      </c>
      <c r="U194" s="384">
        <f>VLOOKUP($A194,'8.Non-elective admissions - CCG'!$D$5:$Q$215,14,0)*$H194</f>
        <v>8460.3053512143633</v>
      </c>
    </row>
    <row r="195" spans="1:21">
      <c r="A195" s="395" t="s">
        <v>168</v>
      </c>
      <c r="B195" s="395" t="s">
        <v>167</v>
      </c>
      <c r="C195" s="395" t="s">
        <v>717</v>
      </c>
      <c r="D195" s="395" t="s">
        <v>267</v>
      </c>
      <c r="E195" s="537">
        <f>COUNTIF($D$5:D195,D195)</f>
        <v>2</v>
      </c>
      <c r="F195" s="537" t="str">
        <f t="shared" si="4"/>
        <v>Lambeth2</v>
      </c>
      <c r="G195" s="541" t="str">
        <f t="shared" si="5"/>
        <v>NHS Croydon CCG</v>
      </c>
      <c r="H195" s="546">
        <v>6.786267244898744E-3</v>
      </c>
      <c r="I195" s="546">
        <v>7.57923353101091E-3</v>
      </c>
      <c r="J195" s="384">
        <f>VLOOKUP($A195,'8.Non-elective admissions - CCG'!$D$5:$N$215,3,0)*$H195</f>
        <v>60.336702074394729</v>
      </c>
      <c r="K195" s="384">
        <f>VLOOKUP($A195,'8.Non-elective admissions - CCG'!$D$5:$N$215,4,0)*$H195</f>
        <v>61.517512575007117</v>
      </c>
      <c r="L195" s="384">
        <f>VLOOKUP($A195,'8.Non-elective admissions - CCG'!$D$5:$N$215,5,0)*$H195</f>
        <v>61.91111607521124</v>
      </c>
      <c r="M195" s="384">
        <f>VLOOKUP($A195,'8.Non-elective admissions - CCG'!$D$5:$N$215,6,0)*$H195</f>
        <v>61.361428428374445</v>
      </c>
      <c r="N195" s="384">
        <f>VLOOKUP($A195,'8.Non-elective admissions - CCG'!$D$5:$N$215,7,0)*$H195</f>
        <v>55.945987166945244</v>
      </c>
      <c r="O195" s="384">
        <f>VLOOKUP($A195,'8.Non-elective admissions - CCG'!$D$5:$N$215,8,0)*$H195</f>
        <v>57.07250752959844</v>
      </c>
      <c r="P195" s="384">
        <f>VLOOKUP($A195,'8.Non-elective admissions - CCG'!$D$5:$N$215,9,0)*$H195</f>
        <v>56.841774443271881</v>
      </c>
      <c r="Q195" s="384">
        <f>VLOOKUP($A195,'8.Non-elective admissions - CCG'!$D$5:$N$215,10,0)*$H195</f>
        <v>58.022584943884262</v>
      </c>
      <c r="R195" s="384">
        <f>VLOOKUP($A195,'8.Non-elective admissions - CCG'!$D$5:$Q$215,11,0)*$H195</f>
        <v>57.846141995516895</v>
      </c>
      <c r="S195" s="384">
        <f>VLOOKUP($A195,'8.Non-elective admissions - CCG'!$D$5:$Q$215,12,0)*$H195</f>
        <v>59.01337996163948</v>
      </c>
      <c r="T195" s="384">
        <f>VLOOKUP($A195,'8.Non-elective admissions - CCG'!$D$5:$Q$215,13,0)*$H195</f>
        <v>58.762288073578226</v>
      </c>
      <c r="U195" s="384">
        <f>VLOOKUP($A195,'8.Non-elective admissions - CCG'!$D$5:$Q$215,14,0)*$H195</f>
        <v>59.983816177659996</v>
      </c>
    </row>
    <row r="196" spans="1:21">
      <c r="A196" s="395" t="s">
        <v>168</v>
      </c>
      <c r="B196" s="395" t="s">
        <v>167</v>
      </c>
      <c r="C196" s="395" t="s">
        <v>728</v>
      </c>
      <c r="D196" s="395" t="s">
        <v>300</v>
      </c>
      <c r="E196" s="537">
        <f>COUNTIF($D$5:D196,D196)</f>
        <v>1</v>
      </c>
      <c r="F196" s="537" t="str">
        <f t="shared" si="4"/>
        <v>Merton1</v>
      </c>
      <c r="G196" s="541" t="str">
        <f t="shared" si="5"/>
        <v>NHS Croydon CCG</v>
      </c>
      <c r="H196" s="546">
        <v>4.7424273936163379E-3</v>
      </c>
      <c r="I196" s="546">
        <v>8.034067578383269E-3</v>
      </c>
      <c r="J196" s="384">
        <f>VLOOKUP($A196,'8.Non-elective admissions - CCG'!$D$5:$N$215,3,0)*$H196</f>
        <v>42.164921956642857</v>
      </c>
      <c r="K196" s="384">
        <f>VLOOKUP($A196,'8.Non-elective admissions - CCG'!$D$5:$N$215,4,0)*$H196</f>
        <v>42.990104323132101</v>
      </c>
      <c r="L196" s="384">
        <f>VLOOKUP($A196,'8.Non-elective admissions - CCG'!$D$5:$N$215,5,0)*$H196</f>
        <v>43.265165111961849</v>
      </c>
      <c r="M196" s="384">
        <f>VLOOKUP($A196,'8.Non-elective admissions - CCG'!$D$5:$N$215,6,0)*$H196</f>
        <v>42.881028493078929</v>
      </c>
      <c r="N196" s="384">
        <f>VLOOKUP($A196,'8.Non-elective admissions - CCG'!$D$5:$N$215,7,0)*$H196</f>
        <v>39.096571432973093</v>
      </c>
      <c r="O196" s="384">
        <f>VLOOKUP($A196,'8.Non-elective admissions - CCG'!$D$5:$N$215,8,0)*$H196</f>
        <v>39.883814380313403</v>
      </c>
      <c r="P196" s="384">
        <f>VLOOKUP($A196,'8.Non-elective admissions - CCG'!$D$5:$N$215,9,0)*$H196</f>
        <v>39.722571848930443</v>
      </c>
      <c r="Q196" s="384">
        <f>VLOOKUP($A196,'8.Non-elective admissions - CCG'!$D$5:$N$215,10,0)*$H196</f>
        <v>40.547754215419687</v>
      </c>
      <c r="R196" s="384">
        <f>VLOOKUP($A196,'8.Non-elective admissions - CCG'!$D$5:$Q$215,11,0)*$H196</f>
        <v>40.424451103185667</v>
      </c>
      <c r="S196" s="384">
        <f>VLOOKUP($A196,'8.Non-elective admissions - CCG'!$D$5:$Q$215,12,0)*$H196</f>
        <v>41.240148614887673</v>
      </c>
      <c r="T196" s="384">
        <f>VLOOKUP($A196,'8.Non-elective admissions - CCG'!$D$5:$Q$215,13,0)*$H196</f>
        <v>41.064678801323872</v>
      </c>
      <c r="U196" s="384">
        <f>VLOOKUP($A196,'8.Non-elective admissions - CCG'!$D$5:$Q$215,14,0)*$H196</f>
        <v>41.918315732174811</v>
      </c>
    </row>
    <row r="197" spans="1:21">
      <c r="A197" s="395" t="s">
        <v>168</v>
      </c>
      <c r="B197" s="395" t="s">
        <v>167</v>
      </c>
      <c r="C197" s="395" t="s">
        <v>775</v>
      </c>
      <c r="D197" s="395" t="s">
        <v>441</v>
      </c>
      <c r="E197" s="537">
        <f>COUNTIF($D$5:D197,D197)</f>
        <v>5</v>
      </c>
      <c r="F197" s="537" t="str">
        <f t="shared" si="4"/>
        <v>Surrey5</v>
      </c>
      <c r="G197" s="541" t="str">
        <f t="shared" si="5"/>
        <v>NHS Croydon CCG</v>
      </c>
      <c r="H197" s="546">
        <v>1.1726402764832602E-2</v>
      </c>
      <c r="I197" s="546">
        <v>3.7660699118474113E-3</v>
      </c>
      <c r="J197" s="384">
        <f>VLOOKUP($A197,'8.Non-elective admissions - CCG'!$D$5:$N$215,3,0)*$H197</f>
        <v>104.25944698212666</v>
      </c>
      <c r="K197" s="384">
        <f>VLOOKUP($A197,'8.Non-elective admissions - CCG'!$D$5:$N$215,4,0)*$H197</f>
        <v>106.29984106320754</v>
      </c>
      <c r="L197" s="384">
        <f>VLOOKUP($A197,'8.Non-elective admissions - CCG'!$D$5:$N$215,5,0)*$H197</f>
        <v>106.97997242356783</v>
      </c>
      <c r="M197" s="384">
        <f>VLOOKUP($A197,'8.Non-elective admissions - CCG'!$D$5:$N$215,6,0)*$H197</f>
        <v>106.03013379961639</v>
      </c>
      <c r="N197" s="384">
        <f>VLOOKUP($A197,'8.Non-elective admissions - CCG'!$D$5:$N$215,7,0)*$H197</f>
        <v>96.672464393279967</v>
      </c>
      <c r="O197" s="384">
        <f>VLOOKUP($A197,'8.Non-elective admissions - CCG'!$D$5:$N$215,8,0)*$H197</f>
        <v>98.619047252242183</v>
      </c>
      <c r="P197" s="384">
        <f>VLOOKUP($A197,'8.Non-elective admissions - CCG'!$D$5:$N$215,9,0)*$H197</f>
        <v>98.220349558237871</v>
      </c>
      <c r="Q197" s="384">
        <f>VLOOKUP($A197,'8.Non-elective admissions - CCG'!$D$5:$N$215,10,0)*$H197</f>
        <v>100.26074363931875</v>
      </c>
      <c r="R197" s="384">
        <f>VLOOKUP($A197,'8.Non-elective admissions - CCG'!$D$5:$Q$215,11,0)*$H197</f>
        <v>99.955857167433095</v>
      </c>
      <c r="S197" s="384">
        <f>VLOOKUP($A197,'8.Non-elective admissions - CCG'!$D$5:$Q$215,12,0)*$H197</f>
        <v>101.97279844298431</v>
      </c>
      <c r="T197" s="384">
        <f>VLOOKUP($A197,'8.Non-elective admissions - CCG'!$D$5:$Q$215,13,0)*$H197</f>
        <v>101.53892154068551</v>
      </c>
      <c r="U197" s="384">
        <f>VLOOKUP($A197,'8.Non-elective admissions - CCG'!$D$5:$Q$215,14,0)*$H197</f>
        <v>103.64967403835537</v>
      </c>
    </row>
    <row r="198" spans="1:21">
      <c r="A198" s="395" t="s">
        <v>168</v>
      </c>
      <c r="B198" s="395" t="s">
        <v>167</v>
      </c>
      <c r="C198" s="395" t="s">
        <v>776</v>
      </c>
      <c r="D198" s="395" t="s">
        <v>444</v>
      </c>
      <c r="E198" s="537">
        <f>COUNTIF($D$5:D198,D198)</f>
        <v>1</v>
      </c>
      <c r="F198" s="537" t="str">
        <f t="shared" ref="F198:F260" si="6">D198&amp;E198</f>
        <v>Sutton1</v>
      </c>
      <c r="G198" s="541" t="str">
        <f t="shared" ref="G198:G260" si="7">B198</f>
        <v>NHS Croydon CCG</v>
      </c>
      <c r="H198" s="546">
        <v>9.9316237999501865E-3</v>
      </c>
      <c r="I198" s="546">
        <v>1.8863139825218474E-2</v>
      </c>
      <c r="J198" s="384">
        <f>VLOOKUP($A198,'8.Non-elective admissions - CCG'!$D$5:$N$215,3,0)*$H198</f>
        <v>88.302067205357105</v>
      </c>
      <c r="K198" s="384">
        <f>VLOOKUP($A198,'8.Non-elective admissions - CCG'!$D$5:$N$215,4,0)*$H198</f>
        <v>90.030169746548438</v>
      </c>
      <c r="L198" s="384">
        <f>VLOOKUP($A198,'8.Non-elective admissions - CCG'!$D$5:$N$215,5,0)*$H198</f>
        <v>90.606203926945554</v>
      </c>
      <c r="M198" s="384">
        <f>VLOOKUP($A198,'8.Non-elective admissions - CCG'!$D$5:$N$215,6,0)*$H198</f>
        <v>89.801742399149589</v>
      </c>
      <c r="N198" s="384">
        <f>VLOOKUP($A198,'8.Non-elective admissions - CCG'!$D$5:$N$215,7,0)*$H198</f>
        <v>81.876306606789342</v>
      </c>
      <c r="O198" s="384">
        <f>VLOOKUP($A198,'8.Non-elective admissions - CCG'!$D$5:$N$215,8,0)*$H198</f>
        <v>83.524956157581073</v>
      </c>
      <c r="P198" s="384">
        <f>VLOOKUP($A198,'8.Non-elective admissions - CCG'!$D$5:$N$215,9,0)*$H198</f>
        <v>83.187280948382764</v>
      </c>
      <c r="Q198" s="384">
        <f>VLOOKUP($A198,'8.Non-elective admissions - CCG'!$D$5:$N$215,10,0)*$H198</f>
        <v>84.915383489574097</v>
      </c>
      <c r="R198" s="384">
        <f>VLOOKUP($A198,'8.Non-elective admissions - CCG'!$D$5:$Q$215,11,0)*$H198</f>
        <v>84.65716127077539</v>
      </c>
      <c r="S198" s="384">
        <f>VLOOKUP($A198,'8.Non-elective admissions - CCG'!$D$5:$Q$215,12,0)*$H198</f>
        <v>86.365400564366823</v>
      </c>
      <c r="T198" s="384">
        <f>VLOOKUP($A198,'8.Non-elective admissions - CCG'!$D$5:$Q$215,13,0)*$H198</f>
        <v>85.99793048376867</v>
      </c>
      <c r="U198" s="384">
        <f>VLOOKUP($A198,'8.Non-elective admissions - CCG'!$D$5:$Q$215,14,0)*$H198</f>
        <v>87.785622767759705</v>
      </c>
    </row>
    <row r="199" spans="1:21">
      <c r="A199" s="395" t="s">
        <v>171</v>
      </c>
      <c r="B199" s="395" t="s">
        <v>170</v>
      </c>
      <c r="C199" s="395" t="s">
        <v>680</v>
      </c>
      <c r="D199" s="395" t="s">
        <v>136</v>
      </c>
      <c r="E199" s="537">
        <f>COUNTIF($D$5:D199,D199)</f>
        <v>1</v>
      </c>
      <c r="F199" s="537" t="str">
        <f t="shared" si="6"/>
        <v>Cumbria1</v>
      </c>
      <c r="G199" s="541" t="str">
        <f t="shared" si="7"/>
        <v>NHS Cumbria CCG</v>
      </c>
      <c r="H199" s="546">
        <v>0.97359875650220062</v>
      </c>
      <c r="I199" s="546">
        <v>0.99999999999999989</v>
      </c>
      <c r="J199" s="384">
        <f>VLOOKUP($A199,'8.Non-elective admissions - CCG'!$D$5:$N$215,3,0)*$H199</f>
        <v>13769.607213210624</v>
      </c>
      <c r="K199" s="384">
        <f>VLOOKUP($A199,'8.Non-elective admissions - CCG'!$D$5:$N$215,4,0)*$H199</f>
        <v>13726.768867924526</v>
      </c>
      <c r="L199" s="384">
        <f>VLOOKUP($A199,'8.Non-elective admissions - CCG'!$D$5:$N$215,5,0)*$H199</f>
        <v>14452.099941518665</v>
      </c>
      <c r="M199" s="384">
        <f>VLOOKUP($A199,'8.Non-elective admissions - CCG'!$D$5:$N$215,6,0)*$H199</f>
        <v>14600.086952507001</v>
      </c>
      <c r="N199" s="384">
        <f>VLOOKUP($A199,'8.Non-elective admissions - CCG'!$D$5:$N$215,7,0)*$H199</f>
        <v>13485.316376311981</v>
      </c>
      <c r="O199" s="384">
        <f>VLOOKUP($A199,'8.Non-elective admissions - CCG'!$D$5:$N$215,8,0)*$H199</f>
        <v>13638.171381082826</v>
      </c>
      <c r="P199" s="384">
        <f>VLOOKUP($A199,'8.Non-elective admissions - CCG'!$D$5:$N$215,9,0)*$H199</f>
        <v>14552.380613438392</v>
      </c>
      <c r="Q199" s="384">
        <f>VLOOKUP($A199,'8.Non-elective admissions - CCG'!$D$5:$N$215,10,0)*$H199</f>
        <v>14170.72990088953</v>
      </c>
      <c r="R199" s="384">
        <f>VLOOKUP($A199,'8.Non-elective admissions - CCG'!$D$5:$Q$215,11,0)*$H199</f>
        <v>13373.352519314229</v>
      </c>
      <c r="S199" s="384">
        <f>VLOOKUP($A199,'8.Non-elective admissions - CCG'!$D$5:$Q$215,12,0)*$H199</f>
        <v>13523.286727815566</v>
      </c>
      <c r="T199" s="384">
        <f>VLOOKUP($A199,'8.Non-elective admissions - CCG'!$D$5:$Q$215,13,0)*$H199</f>
        <v>14431.65436763212</v>
      </c>
      <c r="U199" s="384">
        <f>VLOOKUP($A199,'8.Non-elective admissions - CCG'!$D$5:$Q$215,14,0)*$H199</f>
        <v>14050.003655083257</v>
      </c>
    </row>
    <row r="200" spans="1:21">
      <c r="A200" s="395" t="s">
        <v>171</v>
      </c>
      <c r="B200" s="395" t="s">
        <v>170</v>
      </c>
      <c r="C200" s="395" t="s">
        <v>718</v>
      </c>
      <c r="D200" s="395" t="s">
        <v>270</v>
      </c>
      <c r="E200" s="537">
        <f>COUNTIF($D$5:D200,D200)</f>
        <v>7</v>
      </c>
      <c r="F200" s="537" t="str">
        <f t="shared" si="6"/>
        <v>Lancashire7</v>
      </c>
      <c r="G200" s="541" t="str">
        <f t="shared" si="7"/>
        <v>NHS Cumbria CCG</v>
      </c>
      <c r="H200" s="546">
        <v>1.3968189233278954E-2</v>
      </c>
      <c r="I200" s="546">
        <v>5.9207495321539679E-3</v>
      </c>
      <c r="J200" s="384">
        <f>VLOOKUP($A200,'8.Non-elective admissions - CCG'!$D$5:$N$215,3,0)*$H200</f>
        <v>197.55210032626425</v>
      </c>
      <c r="K200" s="384">
        <f>VLOOKUP($A200,'8.Non-elective admissions - CCG'!$D$5:$N$215,4,0)*$H200</f>
        <v>196.93749999999997</v>
      </c>
      <c r="L200" s="384">
        <f>VLOOKUP($A200,'8.Non-elective admissions - CCG'!$D$5:$N$215,5,0)*$H200</f>
        <v>207.34380097879279</v>
      </c>
      <c r="M200" s="384">
        <f>VLOOKUP($A200,'8.Non-elective admissions - CCG'!$D$5:$N$215,6,0)*$H200</f>
        <v>209.4669657422512</v>
      </c>
      <c r="N200" s="384">
        <f>VLOOKUP($A200,'8.Non-elective admissions - CCG'!$D$5:$N$215,7,0)*$H200</f>
        <v>193.47338907014679</v>
      </c>
      <c r="O200" s="384">
        <f>VLOOKUP($A200,'8.Non-elective admissions - CCG'!$D$5:$N$215,8,0)*$H200</f>
        <v>195.66639477977159</v>
      </c>
      <c r="P200" s="384">
        <f>VLOOKUP($A200,'8.Non-elective admissions - CCG'!$D$5:$N$215,9,0)*$H200</f>
        <v>208.78252446982052</v>
      </c>
      <c r="Q200" s="384">
        <f>VLOOKUP($A200,'8.Non-elective admissions - CCG'!$D$5:$N$215,10,0)*$H200</f>
        <v>203.30699429037517</v>
      </c>
      <c r="R200" s="384">
        <f>VLOOKUP($A200,'8.Non-elective admissions - CCG'!$D$5:$Q$215,11,0)*$H200</f>
        <v>191.86704730831971</v>
      </c>
      <c r="S200" s="384">
        <f>VLOOKUP($A200,'8.Non-elective admissions - CCG'!$D$5:$Q$215,12,0)*$H200</f>
        <v>194.01814845024467</v>
      </c>
      <c r="T200" s="384">
        <f>VLOOKUP($A200,'8.Non-elective admissions - CCG'!$D$5:$Q$215,13,0)*$H200</f>
        <v>207.05046900489393</v>
      </c>
      <c r="U200" s="384">
        <f>VLOOKUP($A200,'8.Non-elective admissions - CCG'!$D$5:$Q$215,14,0)*$H200</f>
        <v>201.57493882544858</v>
      </c>
    </row>
    <row r="201" spans="1:21">
      <c r="A201" s="395" t="s">
        <v>171</v>
      </c>
      <c r="B201" s="395" t="s">
        <v>170</v>
      </c>
      <c r="C201" s="395" t="s">
        <v>738</v>
      </c>
      <c r="D201" s="395" t="s">
        <v>330</v>
      </c>
      <c r="E201" s="537">
        <f>COUNTIF($D$5:D201,D201)</f>
        <v>2</v>
      </c>
      <c r="F201" s="537" t="str">
        <f t="shared" si="6"/>
        <v>North Yorkshire2</v>
      </c>
      <c r="G201" s="541" t="str">
        <f t="shared" si="7"/>
        <v>NHS Cumbria CCG</v>
      </c>
      <c r="H201" s="546">
        <v>1.2433054264520297E-2</v>
      </c>
      <c r="I201" s="546">
        <v>1.0596193699011042E-2</v>
      </c>
      <c r="J201" s="384">
        <f>VLOOKUP($A201,'8.Non-elective admissions - CCG'!$D$5:$N$215,3,0)*$H201</f>
        <v>175.84068646311056</v>
      </c>
      <c r="K201" s="384">
        <f>VLOOKUP($A201,'8.Non-elective admissions - CCG'!$D$5:$N$215,4,0)*$H201</f>
        <v>175.29363207547166</v>
      </c>
      <c r="L201" s="384">
        <f>VLOOKUP($A201,'8.Non-elective admissions - CCG'!$D$5:$N$215,5,0)*$H201</f>
        <v>184.5562575025393</v>
      </c>
      <c r="M201" s="384">
        <f>VLOOKUP($A201,'8.Non-elective admissions - CCG'!$D$5:$N$215,6,0)*$H201</f>
        <v>186.44608175074637</v>
      </c>
      <c r="N201" s="384">
        <f>VLOOKUP($A201,'8.Non-elective admissions - CCG'!$D$5:$N$215,7,0)*$H201</f>
        <v>172.21023461787064</v>
      </c>
      <c r="O201" s="384">
        <f>VLOOKUP($A201,'8.Non-elective admissions - CCG'!$D$5:$N$215,8,0)*$H201</f>
        <v>174.16222413740033</v>
      </c>
      <c r="P201" s="384">
        <f>VLOOKUP($A201,'8.Non-elective admissions - CCG'!$D$5:$N$215,9,0)*$H201</f>
        <v>185.83686209178487</v>
      </c>
      <c r="Q201" s="384">
        <f>VLOOKUP($A201,'8.Non-elective admissions - CCG'!$D$5:$N$215,10,0)*$H201</f>
        <v>180.96310482009292</v>
      </c>
      <c r="R201" s="384">
        <f>VLOOKUP($A201,'8.Non-elective admissions - CCG'!$D$5:$Q$215,11,0)*$H201</f>
        <v>170.78043337745081</v>
      </c>
      <c r="S201" s="384">
        <f>VLOOKUP($A201,'8.Non-elective admissions - CCG'!$D$5:$Q$215,12,0)*$H201</f>
        <v>172.69512373418692</v>
      </c>
      <c r="T201" s="384">
        <f>VLOOKUP($A201,'8.Non-elective admissions - CCG'!$D$5:$Q$215,13,0)*$H201</f>
        <v>184.29516336298437</v>
      </c>
      <c r="U201" s="384">
        <f>VLOOKUP($A201,'8.Non-elective admissions - CCG'!$D$5:$Q$215,14,0)*$H201</f>
        <v>179.4214060912924</v>
      </c>
    </row>
    <row r="202" spans="1:21">
      <c r="A202" s="395" t="s">
        <v>171</v>
      </c>
      <c r="B202" s="395" t="s">
        <v>170</v>
      </c>
      <c r="C202" s="395" t="s">
        <v>740</v>
      </c>
      <c r="D202" s="395" t="s">
        <v>336</v>
      </c>
      <c r="E202" s="537">
        <f>COUNTIF($D$5:D202,D202)</f>
        <v>1</v>
      </c>
      <c r="F202" s="537" t="str">
        <f t="shared" si="6"/>
        <v>Northumberland1</v>
      </c>
      <c r="G202" s="541" t="str">
        <f t="shared" si="7"/>
        <v>NHS Cumbria CCG</v>
      </c>
      <c r="H202" s="546">
        <v>0</v>
      </c>
      <c r="I202" s="546">
        <v>1.214468175912734E-3</v>
      </c>
      <c r="J202" s="384">
        <f>VLOOKUP($A202,'8.Non-elective admissions - CCG'!$D$5:$N$215,3,0)*$H202</f>
        <v>0</v>
      </c>
      <c r="K202" s="384">
        <f>VLOOKUP($A202,'8.Non-elective admissions - CCG'!$D$5:$N$215,4,0)*$H202</f>
        <v>0</v>
      </c>
      <c r="L202" s="384">
        <f>VLOOKUP($A202,'8.Non-elective admissions - CCG'!$D$5:$N$215,5,0)*$H202</f>
        <v>0</v>
      </c>
      <c r="M202" s="384">
        <f>VLOOKUP($A202,'8.Non-elective admissions - CCG'!$D$5:$N$215,6,0)*$H202</f>
        <v>0</v>
      </c>
      <c r="N202" s="384">
        <f>VLOOKUP($A202,'8.Non-elective admissions - CCG'!$D$5:$N$215,7,0)*$H202</f>
        <v>0</v>
      </c>
      <c r="O202" s="384">
        <f>VLOOKUP($A202,'8.Non-elective admissions - CCG'!$D$5:$N$215,8,0)*$H202</f>
        <v>0</v>
      </c>
      <c r="P202" s="384">
        <f>VLOOKUP($A202,'8.Non-elective admissions - CCG'!$D$5:$N$215,9,0)*$H202</f>
        <v>0</v>
      </c>
      <c r="Q202" s="384">
        <f>VLOOKUP($A202,'8.Non-elective admissions - CCG'!$D$5:$N$215,10,0)*$H202</f>
        <v>0</v>
      </c>
      <c r="R202" s="384">
        <f>VLOOKUP($A202,'8.Non-elective admissions - CCG'!$D$5:$Q$215,11,0)*$H202</f>
        <v>0</v>
      </c>
      <c r="S202" s="384">
        <f>VLOOKUP($A202,'8.Non-elective admissions - CCG'!$D$5:$Q$215,12,0)*$H202</f>
        <v>0</v>
      </c>
      <c r="T202" s="384">
        <f>VLOOKUP($A202,'8.Non-elective admissions - CCG'!$D$5:$Q$215,13,0)*$H202</f>
        <v>0</v>
      </c>
      <c r="U202" s="384">
        <f>VLOOKUP($A202,'8.Non-elective admissions - CCG'!$D$5:$Q$215,14,0)*$H202</f>
        <v>0</v>
      </c>
    </row>
    <row r="203" spans="1:21">
      <c r="A203" s="395" t="s">
        <v>175</v>
      </c>
      <c r="B203" s="395" t="s">
        <v>174</v>
      </c>
      <c r="C203" s="395" t="s">
        <v>681</v>
      </c>
      <c r="D203" s="395" t="s">
        <v>139</v>
      </c>
      <c r="E203" s="537">
        <f>COUNTIF($D$5:D203,D203)</f>
        <v>1</v>
      </c>
      <c r="F203" s="537" t="str">
        <f t="shared" si="6"/>
        <v>Darlington1</v>
      </c>
      <c r="G203" s="541" t="str">
        <f t="shared" si="7"/>
        <v>NHS Darlington CCG</v>
      </c>
      <c r="H203" s="546">
        <v>0.98209086981837301</v>
      </c>
      <c r="I203" s="546">
        <v>0.96511466937381751</v>
      </c>
      <c r="J203" s="384">
        <f>VLOOKUP($A203,'8.Non-elective admissions - CCG'!$D$5:$N$215,3,0)*$H203</f>
        <v>3266.4342330159088</v>
      </c>
      <c r="K203" s="384">
        <f>VLOOKUP($A203,'8.Non-elective admissions - CCG'!$D$5:$N$215,4,0)*$H203</f>
        <v>3256.6133243177251</v>
      </c>
      <c r="L203" s="384">
        <f>VLOOKUP($A203,'8.Non-elective admissions - CCG'!$D$5:$N$215,5,0)*$H203</f>
        <v>3454.9956800210362</v>
      </c>
      <c r="M203" s="384">
        <f>VLOOKUP($A203,'8.Non-elective admissions - CCG'!$D$5:$N$215,6,0)*$H203</f>
        <v>3203.5804173475326</v>
      </c>
      <c r="N203" s="384">
        <f>VLOOKUP($A203,'8.Non-elective admissions - CCG'!$D$5:$N$215,7,0)*$H203</f>
        <v>3261.5237786668167</v>
      </c>
      <c r="O203" s="384">
        <f>VLOOKUP($A203,'8.Non-elective admissions - CCG'!$D$5:$N$215,8,0)*$H203</f>
        <v>3136.7982381998836</v>
      </c>
      <c r="P203" s="384">
        <f>VLOOKUP($A203,'8.Non-elective admissions - CCG'!$D$5:$N$215,9,0)*$H203</f>
        <v>3280.1835051933658</v>
      </c>
      <c r="Q203" s="384">
        <f>VLOOKUP($A203,'8.Non-elective admissions - CCG'!$D$5:$N$215,10,0)*$H203</f>
        <v>3282.1476869330027</v>
      </c>
      <c r="R203" s="384">
        <f>VLOOKUP($A203,'8.Non-elective admissions - CCG'!$D$5:$Q$215,11,0)*$H203</f>
        <v>3228.1326890929922</v>
      </c>
      <c r="S203" s="384">
        <f>VLOOKUP($A203,'8.Non-elective admissions - CCG'!$D$5:$Q$215,12,0)*$H203</f>
        <v>3104.3892394958771</v>
      </c>
      <c r="T203" s="384">
        <f>VLOOKUP($A203,'8.Non-elective admissions - CCG'!$D$5:$Q$215,13,0)*$H203</f>
        <v>3243.8461430100861</v>
      </c>
      <c r="U203" s="384">
        <f>VLOOKUP($A203,'8.Non-elective admissions - CCG'!$D$5:$Q$215,14,0)*$H203</f>
        <v>3243.8461430100861</v>
      </c>
    </row>
    <row r="204" spans="1:21">
      <c r="A204" s="395" t="s">
        <v>175</v>
      </c>
      <c r="B204" s="395" t="s">
        <v>174</v>
      </c>
      <c r="C204" s="395" t="s">
        <v>738</v>
      </c>
      <c r="D204" s="395" t="s">
        <v>330</v>
      </c>
      <c r="E204" s="537">
        <f>COUNTIF($D$5:D204,D204)</f>
        <v>3</v>
      </c>
      <c r="F204" s="537" t="str">
        <f t="shared" si="6"/>
        <v>North Yorkshire3</v>
      </c>
      <c r="G204" s="541" t="str">
        <f t="shared" si="7"/>
        <v>NHS Darlington CCG</v>
      </c>
      <c r="H204" s="546">
        <v>1.3504629890497923E-2</v>
      </c>
      <c r="I204" s="546">
        <v>2.3576244064951075E-3</v>
      </c>
      <c r="J204" s="384">
        <f>VLOOKUP($A204,'8.Non-elective admissions - CCG'!$D$5:$N$215,3,0)*$H204</f>
        <v>44.916399015796088</v>
      </c>
      <c r="K204" s="384">
        <f>VLOOKUP($A204,'8.Non-elective admissions - CCG'!$D$5:$N$215,4,0)*$H204</f>
        <v>44.781352716891114</v>
      </c>
      <c r="L204" s="384">
        <f>VLOOKUP($A204,'8.Non-elective admissions - CCG'!$D$5:$N$215,5,0)*$H204</f>
        <v>47.509287954771693</v>
      </c>
      <c r="M204" s="384">
        <f>VLOOKUP($A204,'8.Non-elective admissions - CCG'!$D$5:$N$215,6,0)*$H204</f>
        <v>44.052102702804227</v>
      </c>
      <c r="N204" s="384">
        <f>VLOOKUP($A204,'8.Non-elective admissions - CCG'!$D$5:$N$215,7,0)*$H204</f>
        <v>44.848875866343597</v>
      </c>
      <c r="O204" s="384">
        <f>VLOOKUP($A204,'8.Non-elective admissions - CCG'!$D$5:$N$215,8,0)*$H204</f>
        <v>43.133787870250366</v>
      </c>
      <c r="P204" s="384">
        <f>VLOOKUP($A204,'8.Non-elective admissions - CCG'!$D$5:$N$215,9,0)*$H204</f>
        <v>45.105463834263062</v>
      </c>
      <c r="Q204" s="384">
        <f>VLOOKUP($A204,'8.Non-elective admissions - CCG'!$D$5:$N$215,10,0)*$H204</f>
        <v>45.132473094044059</v>
      </c>
      <c r="R204" s="384">
        <f>VLOOKUP($A204,'8.Non-elective admissions - CCG'!$D$5:$Q$215,11,0)*$H204</f>
        <v>44.389718450066674</v>
      </c>
      <c r="S204" s="384">
        <f>VLOOKUP($A204,'8.Non-elective admissions - CCG'!$D$5:$Q$215,12,0)*$H204</f>
        <v>42.688135083863934</v>
      </c>
      <c r="T204" s="384">
        <f>VLOOKUP($A204,'8.Non-elective admissions - CCG'!$D$5:$Q$215,13,0)*$H204</f>
        <v>44.605792528314637</v>
      </c>
      <c r="U204" s="384">
        <f>VLOOKUP($A204,'8.Non-elective admissions - CCG'!$D$5:$Q$215,14,0)*$H204</f>
        <v>44.605792528314637</v>
      </c>
    </row>
    <row r="205" spans="1:21">
      <c r="A205" s="395" t="s">
        <v>175</v>
      </c>
      <c r="B205" s="395" t="s">
        <v>174</v>
      </c>
      <c r="C205" s="395" t="s">
        <v>771</v>
      </c>
      <c r="D205" s="395" t="s">
        <v>429</v>
      </c>
      <c r="E205" s="537">
        <f>COUNTIF($D$5:D205,D205)</f>
        <v>1</v>
      </c>
      <c r="F205" s="537" t="str">
        <f t="shared" si="6"/>
        <v>Stockton-on-Tees1</v>
      </c>
      <c r="G205" s="541" t="str">
        <f t="shared" si="7"/>
        <v>NHS Darlington CCG</v>
      </c>
      <c r="H205" s="546">
        <v>4.4045002911290172E-3</v>
      </c>
      <c r="I205" s="546">
        <v>2.371753378105025E-3</v>
      </c>
      <c r="J205" s="384">
        <f>VLOOKUP($A205,'8.Non-elective admissions - CCG'!$D$5:$N$215,3,0)*$H205</f>
        <v>14.649367968295111</v>
      </c>
      <c r="K205" s="384">
        <f>VLOOKUP($A205,'8.Non-elective admissions - CCG'!$D$5:$N$215,4,0)*$H205</f>
        <v>14.60532296538382</v>
      </c>
      <c r="L205" s="384">
        <f>VLOOKUP($A205,'8.Non-elective admissions - CCG'!$D$5:$N$215,5,0)*$H205</f>
        <v>15.495032024191882</v>
      </c>
      <c r="M205" s="384">
        <f>VLOOKUP($A205,'8.Non-elective admissions - CCG'!$D$5:$N$215,6,0)*$H205</f>
        <v>14.367479949662854</v>
      </c>
      <c r="N205" s="384">
        <f>VLOOKUP($A205,'8.Non-elective admissions - CCG'!$D$5:$N$215,7,0)*$H205</f>
        <v>14.627345466839467</v>
      </c>
      <c r="O205" s="384">
        <f>VLOOKUP($A205,'8.Non-elective admissions - CCG'!$D$5:$N$215,8,0)*$H205</f>
        <v>14.067973929866081</v>
      </c>
      <c r="P205" s="384">
        <f>VLOOKUP($A205,'8.Non-elective admissions - CCG'!$D$5:$N$215,9,0)*$H205</f>
        <v>14.711030972370917</v>
      </c>
      <c r="Q205" s="384">
        <f>VLOOKUP($A205,'8.Non-elective admissions - CCG'!$D$5:$N$215,10,0)*$H205</f>
        <v>14.719839972953176</v>
      </c>
      <c r="R205" s="384">
        <f>VLOOKUP($A205,'8.Non-elective admissions - CCG'!$D$5:$Q$215,11,0)*$H205</f>
        <v>14.47759245694108</v>
      </c>
      <c r="S205" s="384">
        <f>VLOOKUP($A205,'8.Non-elective admissions - CCG'!$D$5:$Q$215,12,0)*$H205</f>
        <v>13.922625420258823</v>
      </c>
      <c r="T205" s="384">
        <f>VLOOKUP($A205,'8.Non-elective admissions - CCG'!$D$5:$Q$215,13,0)*$H205</f>
        <v>14.548064461599143</v>
      </c>
      <c r="U205" s="384">
        <f>VLOOKUP($A205,'8.Non-elective admissions - CCG'!$D$5:$Q$215,14,0)*$H205</f>
        <v>14.548064461599143</v>
      </c>
    </row>
    <row r="206" spans="1:21">
      <c r="A206" s="395" t="s">
        <v>178</v>
      </c>
      <c r="B206" s="395" t="s">
        <v>177</v>
      </c>
      <c r="C206" s="395" t="s">
        <v>655</v>
      </c>
      <c r="D206" s="395" t="s">
        <v>39</v>
      </c>
      <c r="E206" s="537">
        <f>COUNTIF($D$5:D206,D206)</f>
        <v>2</v>
      </c>
      <c r="F206" s="537" t="str">
        <f t="shared" si="6"/>
        <v>Bexley2</v>
      </c>
      <c r="G206" s="541" t="str">
        <f t="shared" si="7"/>
        <v>NHS Dartford, Gravesham and Swanley CCG</v>
      </c>
      <c r="H206" s="546">
        <v>1.4785484770636435E-2</v>
      </c>
      <c r="I206" s="546">
        <v>1.5846886406790078E-2</v>
      </c>
      <c r="J206" s="384">
        <f>VLOOKUP($A206,'8.Non-elective admissions - CCG'!$D$5:$N$215,3,0)*$H206</f>
        <v>96.40136070454956</v>
      </c>
      <c r="K206" s="384">
        <f>VLOOKUP($A206,'8.Non-elective admissions - CCG'!$D$5:$N$215,4,0)*$H206</f>
        <v>96.312647795925741</v>
      </c>
      <c r="L206" s="384">
        <f>VLOOKUP($A206,'8.Non-elective admissions - CCG'!$D$5:$N$215,5,0)*$H206</f>
        <v>100.58565289463967</v>
      </c>
      <c r="M206" s="384">
        <f>VLOOKUP($A206,'8.Non-elective admissions - CCG'!$D$5:$N$215,6,0)*$H206</f>
        <v>97.96862209023702</v>
      </c>
      <c r="N206" s="384">
        <f>VLOOKUP($A206,'8.Non-elective admissions - CCG'!$D$5:$N$215,7,0)*$H206</f>
        <v>97.303275275558377</v>
      </c>
      <c r="O206" s="384">
        <f>VLOOKUP($A206,'8.Non-elective admissions - CCG'!$D$5:$N$215,8,0)*$H206</f>
        <v>97.998193059778288</v>
      </c>
      <c r="P206" s="384">
        <f>VLOOKUP($A206,'8.Non-elective admissions - CCG'!$D$5:$N$215,9,0)*$H206</f>
        <v>97.998193059778288</v>
      </c>
      <c r="Q206" s="384">
        <f>VLOOKUP($A206,'8.Non-elective admissions - CCG'!$D$5:$N$215,10,0)*$H206</f>
        <v>95.736013889870918</v>
      </c>
      <c r="R206" s="384">
        <f>VLOOKUP($A206,'8.Non-elective admissions - CCG'!$D$5:$Q$215,11,0)*$H206</f>
        <v>93.104197600697631</v>
      </c>
      <c r="S206" s="384">
        <f>VLOOKUP($A206,'8.Non-elective admissions - CCG'!$D$5:$Q$215,12,0)*$H206</f>
        <v>94.12439604987155</v>
      </c>
      <c r="T206" s="384">
        <f>VLOOKUP($A206,'8.Non-elective admissions - CCG'!$D$5:$Q$215,13,0)*$H206</f>
        <v>94.12439604987155</v>
      </c>
      <c r="U206" s="384">
        <f>VLOOKUP($A206,'8.Non-elective admissions - CCG'!$D$5:$Q$215,14,0)*$H206</f>
        <v>93.08941211592699</v>
      </c>
    </row>
    <row r="207" spans="1:21">
      <c r="A207" s="395" t="s">
        <v>178</v>
      </c>
      <c r="B207" s="395" t="s">
        <v>177</v>
      </c>
      <c r="C207" s="395" t="s">
        <v>712</v>
      </c>
      <c r="D207" s="395" t="s">
        <v>252</v>
      </c>
      <c r="E207" s="537">
        <f>COUNTIF($D$5:D207,D207)</f>
        <v>5</v>
      </c>
      <c r="F207" s="537" t="str">
        <f t="shared" si="6"/>
        <v>Kent5</v>
      </c>
      <c r="G207" s="541" t="str">
        <f t="shared" si="7"/>
        <v>NHS Dartford, Gravesham and Swanley CCG</v>
      </c>
      <c r="H207" s="546">
        <v>0.98374146613558333</v>
      </c>
      <c r="I207" s="546">
        <v>0.16325651223568233</v>
      </c>
      <c r="J207" s="384">
        <f>VLOOKUP($A207,'8.Non-elective admissions - CCG'!$D$5:$N$215,3,0)*$H207</f>
        <v>6413.9943592040036</v>
      </c>
      <c r="K207" s="384">
        <f>VLOOKUP($A207,'8.Non-elective admissions - CCG'!$D$5:$N$215,4,0)*$H207</f>
        <v>6408.09191040719</v>
      </c>
      <c r="L207" s="384">
        <f>VLOOKUP($A207,'8.Non-elective admissions - CCG'!$D$5:$N$215,5,0)*$H207</f>
        <v>6692.3931941203737</v>
      </c>
      <c r="M207" s="384">
        <f>VLOOKUP($A207,'8.Non-elective admissions - CCG'!$D$5:$N$215,6,0)*$H207</f>
        <v>6518.2709546143751</v>
      </c>
      <c r="N207" s="384">
        <f>VLOOKUP($A207,'8.Non-elective admissions - CCG'!$D$5:$N$215,7,0)*$H207</f>
        <v>6474.0025886382737</v>
      </c>
      <c r="O207" s="384">
        <f>VLOOKUP($A207,'8.Non-elective admissions - CCG'!$D$5:$N$215,8,0)*$H207</f>
        <v>6520.2384375466463</v>
      </c>
      <c r="P207" s="384">
        <f>VLOOKUP($A207,'8.Non-elective admissions - CCG'!$D$5:$N$215,9,0)*$H207</f>
        <v>6520.2384375466463</v>
      </c>
      <c r="Q207" s="384">
        <f>VLOOKUP($A207,'8.Non-elective admissions - CCG'!$D$5:$N$215,10,0)*$H207</f>
        <v>6369.7259932279021</v>
      </c>
      <c r="R207" s="384">
        <f>VLOOKUP($A207,'8.Non-elective admissions - CCG'!$D$5:$Q$215,11,0)*$H207</f>
        <v>6194.6200122557684</v>
      </c>
      <c r="S207" s="384">
        <f>VLOOKUP($A207,'8.Non-elective admissions - CCG'!$D$5:$Q$215,12,0)*$H207</f>
        <v>6262.4981734191233</v>
      </c>
      <c r="T207" s="384">
        <f>VLOOKUP($A207,'8.Non-elective admissions - CCG'!$D$5:$Q$215,13,0)*$H207</f>
        <v>6262.4981734191233</v>
      </c>
      <c r="U207" s="384">
        <f>VLOOKUP($A207,'8.Non-elective admissions - CCG'!$D$5:$Q$215,14,0)*$H207</f>
        <v>6193.6362707896324</v>
      </c>
    </row>
    <row r="208" spans="1:21">
      <c r="A208" s="395" t="s">
        <v>178</v>
      </c>
      <c r="B208" s="395" t="s">
        <v>177</v>
      </c>
      <c r="C208" s="395" t="s">
        <v>727</v>
      </c>
      <c r="D208" s="395" t="s">
        <v>297</v>
      </c>
      <c r="E208" s="537">
        <f>COUNTIF($D$5:D208,D208)</f>
        <v>1</v>
      </c>
      <c r="F208" s="537" t="str">
        <f t="shared" si="6"/>
        <v>Medway1</v>
      </c>
      <c r="G208" s="541" t="str">
        <f t="shared" si="7"/>
        <v>NHS Dartford, Gravesham and Swanley CCG</v>
      </c>
      <c r="H208" s="546">
        <v>1.4730490937801975E-3</v>
      </c>
      <c r="I208" s="546">
        <v>1.355557242471235E-3</v>
      </c>
      <c r="J208" s="384">
        <f>VLOOKUP($A208,'8.Non-elective admissions - CCG'!$D$5:$N$215,3,0)*$H208</f>
        <v>9.6042800914468884</v>
      </c>
      <c r="K208" s="384">
        <f>VLOOKUP($A208,'8.Non-elective admissions - CCG'!$D$5:$N$215,4,0)*$H208</f>
        <v>9.5954417968842058</v>
      </c>
      <c r="L208" s="384">
        <f>VLOOKUP($A208,'8.Non-elective admissions - CCG'!$D$5:$N$215,5,0)*$H208</f>
        <v>10.021152984986683</v>
      </c>
      <c r="M208" s="384">
        <f>VLOOKUP($A208,'8.Non-elective admissions - CCG'!$D$5:$N$215,6,0)*$H208</f>
        <v>9.7604232953875893</v>
      </c>
      <c r="N208" s="384">
        <f>VLOOKUP($A208,'8.Non-elective admissions - CCG'!$D$5:$N$215,7,0)*$H208</f>
        <v>9.6941360861674806</v>
      </c>
      <c r="O208" s="384">
        <f>VLOOKUP($A208,'8.Non-elective admissions - CCG'!$D$5:$N$215,8,0)*$H208</f>
        <v>9.7633693935751484</v>
      </c>
      <c r="P208" s="384">
        <f>VLOOKUP($A208,'8.Non-elective admissions - CCG'!$D$5:$N$215,9,0)*$H208</f>
        <v>9.7633693935751484</v>
      </c>
      <c r="Q208" s="384">
        <f>VLOOKUP($A208,'8.Non-elective admissions - CCG'!$D$5:$N$215,10,0)*$H208</f>
        <v>9.5379928822267797</v>
      </c>
      <c r="R208" s="384">
        <f>VLOOKUP($A208,'8.Non-elective admissions - CCG'!$D$5:$Q$215,11,0)*$H208</f>
        <v>9.2757901435339036</v>
      </c>
      <c r="S208" s="384">
        <f>VLOOKUP($A208,'8.Non-elective admissions - CCG'!$D$5:$Q$215,12,0)*$H208</f>
        <v>9.3774305310047374</v>
      </c>
      <c r="T208" s="384">
        <f>VLOOKUP($A208,'8.Non-elective admissions - CCG'!$D$5:$Q$215,13,0)*$H208</f>
        <v>9.3774305310047374</v>
      </c>
      <c r="U208" s="384">
        <f>VLOOKUP($A208,'8.Non-elective admissions - CCG'!$D$5:$Q$215,14,0)*$H208</f>
        <v>9.2743170944401232</v>
      </c>
    </row>
    <row r="209" spans="1:21">
      <c r="A209" s="395" t="s">
        <v>182</v>
      </c>
      <c r="B209" s="395" t="s">
        <v>181</v>
      </c>
      <c r="C209" s="395" t="s">
        <v>652</v>
      </c>
      <c r="D209" s="395" t="s">
        <v>23</v>
      </c>
      <c r="E209" s="537">
        <f>COUNTIF($D$5:D209,D209)</f>
        <v>2</v>
      </c>
      <c r="F209" s="537" t="str">
        <f t="shared" si="6"/>
        <v>Barnsley2</v>
      </c>
      <c r="G209" s="541" t="str">
        <f t="shared" si="7"/>
        <v>NHS Doncaster CCG</v>
      </c>
      <c r="H209" s="546">
        <v>2.3306655880115184E-3</v>
      </c>
      <c r="I209" s="546">
        <v>2.9873715656542794E-3</v>
      </c>
      <c r="J209" s="384">
        <f>VLOOKUP($A209,'8.Non-elective admissions - CCG'!$D$5:$N$215,3,0)*$H209</f>
        <v>22.013136478768789</v>
      </c>
      <c r="K209" s="384">
        <f>VLOOKUP($A209,'8.Non-elective admissions - CCG'!$D$5:$N$215,4,0)*$H209</f>
        <v>22.63775485635588</v>
      </c>
      <c r="L209" s="384">
        <f>VLOOKUP($A209,'8.Non-elective admissions - CCG'!$D$5:$N$215,5,0)*$H209</f>
        <v>22.483930927547117</v>
      </c>
      <c r="M209" s="384">
        <f>VLOOKUP($A209,'8.Non-elective admissions - CCG'!$D$5:$N$215,6,0)*$H209</f>
        <v>22.672714840176052</v>
      </c>
      <c r="N209" s="384">
        <f>VLOOKUP($A209,'8.Non-elective admissions - CCG'!$D$5:$N$215,7,0)*$H209</f>
        <v>21.71947261467934</v>
      </c>
      <c r="O209" s="384">
        <f>VLOOKUP($A209,'8.Non-elective admissions - CCG'!$D$5:$N$215,8,0)*$H209</f>
        <v>21.961861835832536</v>
      </c>
      <c r="P209" s="384">
        <f>VLOOKUP($A209,'8.Non-elective admissions - CCG'!$D$5:$N$215,9,0)*$H209</f>
        <v>22.227557712865849</v>
      </c>
      <c r="Q209" s="384">
        <f>VLOOKUP($A209,'8.Non-elective admissions - CCG'!$D$5:$N$215,10,0)*$H209</f>
        <v>21.290630146485221</v>
      </c>
      <c r="R209" s="384">
        <f>VLOOKUP($A209,'8.Non-elective admissions - CCG'!$D$5:$Q$215,11,0)*$H209</f>
        <v>21.56797935145859</v>
      </c>
      <c r="S209" s="384">
        <f>VLOOKUP($A209,'8.Non-elective admissions - CCG'!$D$5:$Q$215,12,0)*$H209</f>
        <v>21.805707241435766</v>
      </c>
      <c r="T209" s="384">
        <f>VLOOKUP($A209,'8.Non-elective admissions - CCG'!$D$5:$Q$215,13,0)*$H209</f>
        <v>22.066741787293054</v>
      </c>
      <c r="U209" s="384">
        <f>VLOOKUP($A209,'8.Non-elective admissions - CCG'!$D$5:$Q$215,14,0)*$H209</f>
        <v>21.35355811736153</v>
      </c>
    </row>
    <row r="210" spans="1:21">
      <c r="A210" s="395" t="s">
        <v>182</v>
      </c>
      <c r="B210" s="395" t="s">
        <v>181</v>
      </c>
      <c r="C210" s="395" t="s">
        <v>685</v>
      </c>
      <c r="D210" s="395" t="s">
        <v>154</v>
      </c>
      <c r="E210" s="537">
        <f>COUNTIF($D$5:D210,D210)</f>
        <v>3</v>
      </c>
      <c r="F210" s="537" t="str">
        <f t="shared" si="6"/>
        <v>Doncaster3</v>
      </c>
      <c r="G210" s="541" t="str">
        <f t="shared" si="7"/>
        <v>NHS Doncaster CCG</v>
      </c>
      <c r="H210" s="546">
        <v>0.96696297580409563</v>
      </c>
      <c r="I210" s="546">
        <v>0.97792900138309002</v>
      </c>
      <c r="J210" s="384">
        <f>VLOOKUP($A210,'8.Non-elective admissions - CCG'!$D$5:$N$215,3,0)*$H210</f>
        <v>9132.9653064696831</v>
      </c>
      <c r="K210" s="384">
        <f>VLOOKUP($A210,'8.Non-elective admissions - CCG'!$D$5:$N$215,4,0)*$H210</f>
        <v>9392.1113839851805</v>
      </c>
      <c r="L210" s="384">
        <f>VLOOKUP($A210,'8.Non-elective admissions - CCG'!$D$5:$N$215,5,0)*$H210</f>
        <v>9328.2918275821103</v>
      </c>
      <c r="M210" s="384">
        <f>VLOOKUP($A210,'8.Non-elective admissions - CCG'!$D$5:$N$215,6,0)*$H210</f>
        <v>9406.6158286222417</v>
      </c>
      <c r="N210" s="384">
        <f>VLOOKUP($A210,'8.Non-elective admissions - CCG'!$D$5:$N$215,7,0)*$H210</f>
        <v>9011.1279715183664</v>
      </c>
      <c r="O210" s="384">
        <f>VLOOKUP($A210,'8.Non-elective admissions - CCG'!$D$5:$N$215,8,0)*$H210</f>
        <v>9111.6921210019937</v>
      </c>
      <c r="P210" s="384">
        <f>VLOOKUP($A210,'8.Non-elective admissions - CCG'!$D$5:$N$215,9,0)*$H210</f>
        <v>9221.9259002436593</v>
      </c>
      <c r="Q210" s="384">
        <f>VLOOKUP($A210,'8.Non-elective admissions - CCG'!$D$5:$N$215,10,0)*$H210</f>
        <v>8833.2067839704141</v>
      </c>
      <c r="R210" s="384">
        <f>VLOOKUP($A210,'8.Non-elective admissions - CCG'!$D$5:$Q$215,11,0)*$H210</f>
        <v>8948.2753780911007</v>
      </c>
      <c r="S210" s="384">
        <f>VLOOKUP($A210,'8.Non-elective admissions - CCG'!$D$5:$Q$215,12,0)*$H210</f>
        <v>9046.9056016231189</v>
      </c>
      <c r="T210" s="384">
        <f>VLOOKUP($A210,'8.Non-elective admissions - CCG'!$D$5:$Q$215,13,0)*$H210</f>
        <v>9155.2054549131772</v>
      </c>
      <c r="U210" s="384">
        <f>VLOOKUP($A210,'8.Non-elective admissions - CCG'!$D$5:$Q$215,14,0)*$H210</f>
        <v>8859.3147843171246</v>
      </c>
    </row>
    <row r="211" spans="1:21">
      <c r="A211" s="395" t="s">
        <v>182</v>
      </c>
      <c r="B211" s="395" t="s">
        <v>181</v>
      </c>
      <c r="C211" s="395" t="s">
        <v>735</v>
      </c>
      <c r="D211" s="395" t="s">
        <v>321</v>
      </c>
      <c r="E211" s="537">
        <f>COUNTIF($D$5:D211,D211)</f>
        <v>2</v>
      </c>
      <c r="F211" s="537" t="str">
        <f t="shared" si="6"/>
        <v>North Lincolnshire2</v>
      </c>
      <c r="G211" s="541" t="str">
        <f t="shared" si="7"/>
        <v>NHS Doncaster CCG</v>
      </c>
      <c r="H211" s="546">
        <v>0</v>
      </c>
      <c r="I211" s="546">
        <v>9.1397502973348263E-4</v>
      </c>
      <c r="J211" s="384">
        <f>VLOOKUP($A211,'8.Non-elective admissions - CCG'!$D$5:$N$215,3,0)*$H211</f>
        <v>0</v>
      </c>
      <c r="K211" s="384">
        <f>VLOOKUP($A211,'8.Non-elective admissions - CCG'!$D$5:$N$215,4,0)*$H211</f>
        <v>0</v>
      </c>
      <c r="L211" s="384">
        <f>VLOOKUP($A211,'8.Non-elective admissions - CCG'!$D$5:$N$215,5,0)*$H211</f>
        <v>0</v>
      </c>
      <c r="M211" s="384">
        <f>VLOOKUP($A211,'8.Non-elective admissions - CCG'!$D$5:$N$215,6,0)*$H211</f>
        <v>0</v>
      </c>
      <c r="N211" s="384">
        <f>VLOOKUP($A211,'8.Non-elective admissions - CCG'!$D$5:$N$215,7,0)*$H211</f>
        <v>0</v>
      </c>
      <c r="O211" s="384">
        <f>VLOOKUP($A211,'8.Non-elective admissions - CCG'!$D$5:$N$215,8,0)*$H211</f>
        <v>0</v>
      </c>
      <c r="P211" s="384">
        <f>VLOOKUP($A211,'8.Non-elective admissions - CCG'!$D$5:$N$215,9,0)*$H211</f>
        <v>0</v>
      </c>
      <c r="Q211" s="384">
        <f>VLOOKUP($A211,'8.Non-elective admissions - CCG'!$D$5:$N$215,10,0)*$H211</f>
        <v>0</v>
      </c>
      <c r="R211" s="384">
        <f>VLOOKUP($A211,'8.Non-elective admissions - CCG'!$D$5:$Q$215,11,0)*$H211</f>
        <v>0</v>
      </c>
      <c r="S211" s="384">
        <f>VLOOKUP($A211,'8.Non-elective admissions - CCG'!$D$5:$Q$215,12,0)*$H211</f>
        <v>0</v>
      </c>
      <c r="T211" s="384">
        <f>VLOOKUP($A211,'8.Non-elective admissions - CCG'!$D$5:$Q$215,13,0)*$H211</f>
        <v>0</v>
      </c>
      <c r="U211" s="384">
        <f>VLOOKUP($A211,'8.Non-elective admissions - CCG'!$D$5:$Q$215,14,0)*$H211</f>
        <v>0</v>
      </c>
    </row>
    <row r="212" spans="1:21">
      <c r="A212" s="395" t="s">
        <v>182</v>
      </c>
      <c r="B212" s="395" t="s">
        <v>181</v>
      </c>
      <c r="C212" s="395" t="s">
        <v>738</v>
      </c>
      <c r="D212" s="395" t="s">
        <v>330</v>
      </c>
      <c r="E212" s="537">
        <f>COUNTIF($D$5:D212,D212)</f>
        <v>4</v>
      </c>
      <c r="F212" s="537" t="str">
        <f t="shared" si="6"/>
        <v>North Yorkshire4</v>
      </c>
      <c r="G212" s="541" t="str">
        <f t="shared" si="7"/>
        <v>NHS Doncaster CCG</v>
      </c>
      <c r="H212" s="546">
        <v>2.0834737832224177E-3</v>
      </c>
      <c r="I212" s="546">
        <v>1.0640460638493218E-3</v>
      </c>
      <c r="J212" s="384">
        <f>VLOOKUP($A212,'8.Non-elective admissions - CCG'!$D$5:$N$215,3,0)*$H212</f>
        <v>19.678409882535735</v>
      </c>
      <c r="K212" s="384">
        <f>VLOOKUP($A212,'8.Non-elective admissions - CCG'!$D$5:$N$215,4,0)*$H212</f>
        <v>20.236780856439342</v>
      </c>
      <c r="L212" s="384">
        <f>VLOOKUP($A212,'8.Non-elective admissions - CCG'!$D$5:$N$215,5,0)*$H212</f>
        <v>20.099271586746664</v>
      </c>
      <c r="M212" s="384">
        <f>VLOOKUP($A212,'8.Non-elective admissions - CCG'!$D$5:$N$215,6,0)*$H212</f>
        <v>20.268032963187679</v>
      </c>
      <c r="N212" s="384">
        <f>VLOOKUP($A212,'8.Non-elective admissions - CCG'!$D$5:$N$215,7,0)*$H212</f>
        <v>19.41589218584971</v>
      </c>
      <c r="O212" s="384">
        <f>VLOOKUP($A212,'8.Non-elective admissions - CCG'!$D$5:$N$215,8,0)*$H212</f>
        <v>19.63257345930484</v>
      </c>
      <c r="P212" s="384">
        <f>VLOOKUP($A212,'8.Non-elective admissions - CCG'!$D$5:$N$215,9,0)*$H212</f>
        <v>19.870089470592198</v>
      </c>
      <c r="Q212" s="384">
        <f>VLOOKUP($A212,'8.Non-elective admissions - CCG'!$D$5:$N$215,10,0)*$H212</f>
        <v>19.032533009736785</v>
      </c>
      <c r="R212" s="384">
        <f>VLOOKUP($A212,'8.Non-elective admissions - CCG'!$D$5:$Q$215,11,0)*$H212</f>
        <v>19.280466389940251</v>
      </c>
      <c r="S212" s="384">
        <f>VLOOKUP($A212,'8.Non-elective admissions - CCG'!$D$5:$Q$215,12,0)*$H212</f>
        <v>19.492980715828939</v>
      </c>
      <c r="T212" s="384">
        <f>VLOOKUP($A212,'8.Non-elective admissions - CCG'!$D$5:$Q$215,13,0)*$H212</f>
        <v>19.72632977954985</v>
      </c>
      <c r="U212" s="384">
        <f>VLOOKUP($A212,'8.Non-elective admissions - CCG'!$D$5:$Q$215,14,0)*$H212</f>
        <v>19.088786801883792</v>
      </c>
    </row>
    <row r="213" spans="1:21">
      <c r="A213" s="395" t="s">
        <v>182</v>
      </c>
      <c r="B213" s="395" t="s">
        <v>181</v>
      </c>
      <c r="C213" s="395" t="s">
        <v>742</v>
      </c>
      <c r="D213" s="395" t="s">
        <v>342</v>
      </c>
      <c r="E213" s="537">
        <f>COUNTIF($D$5:D213,D213)</f>
        <v>2</v>
      </c>
      <c r="F213" s="537" t="str">
        <f t="shared" si="6"/>
        <v>Nottinghamshire2</v>
      </c>
      <c r="G213" s="541" t="str">
        <f t="shared" si="7"/>
        <v>NHS Doncaster CCG</v>
      </c>
      <c r="H213" s="546">
        <v>1.7367631998818613E-2</v>
      </c>
      <c r="I213" s="546">
        <v>6.609562974718727E-3</v>
      </c>
      <c r="J213" s="384">
        <f>VLOOKUP($A213,'8.Non-elective admissions - CCG'!$D$5:$N$215,3,0)*$H213</f>
        <v>164.0372842288418</v>
      </c>
      <c r="K213" s="384">
        <f>VLOOKUP($A213,'8.Non-elective admissions - CCG'!$D$5:$N$215,4,0)*$H213</f>
        <v>168.69180960452519</v>
      </c>
      <c r="L213" s="384">
        <f>VLOOKUP($A213,'8.Non-elective admissions - CCG'!$D$5:$N$215,5,0)*$H213</f>
        <v>167.54554589260314</v>
      </c>
      <c r="M213" s="384">
        <f>VLOOKUP($A213,'8.Non-elective admissions - CCG'!$D$5:$N$215,6,0)*$H213</f>
        <v>168.95232408450747</v>
      </c>
      <c r="N213" s="384">
        <f>VLOOKUP($A213,'8.Non-elective admissions - CCG'!$D$5:$N$215,7,0)*$H213</f>
        <v>161.84896259699065</v>
      </c>
      <c r="O213" s="384">
        <f>VLOOKUP($A213,'8.Non-elective admissions - CCG'!$D$5:$N$215,8,0)*$H213</f>
        <v>163.65519632486777</v>
      </c>
      <c r="P213" s="384">
        <f>VLOOKUP($A213,'8.Non-elective admissions - CCG'!$D$5:$N$215,9,0)*$H213</f>
        <v>165.63510637273311</v>
      </c>
      <c r="Q213" s="384">
        <f>VLOOKUP($A213,'8.Non-elective admissions - CCG'!$D$5:$N$215,10,0)*$H213</f>
        <v>158.65331830920803</v>
      </c>
      <c r="R213" s="384">
        <f>VLOOKUP($A213,'8.Non-elective admissions - CCG'!$D$5:$Q$215,11,0)*$H213</f>
        <v>160.72006651706744</v>
      </c>
      <c r="S213" s="384">
        <f>VLOOKUP($A213,'8.Non-elective admissions - CCG'!$D$5:$Q$215,12,0)*$H213</f>
        <v>162.49156498094695</v>
      </c>
      <c r="T213" s="384">
        <f>VLOOKUP($A213,'8.Non-elective admissions - CCG'!$D$5:$Q$215,13,0)*$H213</f>
        <v>164.43673976481463</v>
      </c>
      <c r="U213" s="384">
        <f>VLOOKUP($A213,'8.Non-elective admissions - CCG'!$D$5:$Q$215,14,0)*$H213</f>
        <v>159.12224437317613</v>
      </c>
    </row>
    <row r="214" spans="1:21">
      <c r="A214" s="395" t="s">
        <v>182</v>
      </c>
      <c r="B214" s="395" t="s">
        <v>181</v>
      </c>
      <c r="C214" s="395" t="s">
        <v>753</v>
      </c>
      <c r="D214" s="395" t="s">
        <v>375</v>
      </c>
      <c r="E214" s="537">
        <f>COUNTIF($D$5:D214,D214)</f>
        <v>3</v>
      </c>
      <c r="F214" s="537" t="str">
        <f t="shared" si="6"/>
        <v>Rotherham3</v>
      </c>
      <c r="G214" s="541" t="str">
        <f t="shared" si="7"/>
        <v>NHS Doncaster CCG</v>
      </c>
      <c r="H214" s="546">
        <v>1.1255252825851767E-2</v>
      </c>
      <c r="I214" s="546">
        <v>1.2993895907997585E-2</v>
      </c>
      <c r="J214" s="384">
        <f>VLOOKUP($A214,'8.Non-elective admissions - CCG'!$D$5:$N$215,3,0)*$H214</f>
        <v>106.30586294016994</v>
      </c>
      <c r="K214" s="384">
        <f>VLOOKUP($A214,'8.Non-elective admissions - CCG'!$D$5:$N$215,4,0)*$H214</f>
        <v>109.32227069749821</v>
      </c>
      <c r="L214" s="384">
        <f>VLOOKUP($A214,'8.Non-elective admissions - CCG'!$D$5:$N$215,5,0)*$H214</f>
        <v>108.579424010992</v>
      </c>
      <c r="M214" s="384">
        <f>VLOOKUP($A214,'8.Non-elective admissions - CCG'!$D$5:$N$215,6,0)*$H214</f>
        <v>109.491099489886</v>
      </c>
      <c r="N214" s="384">
        <f>VLOOKUP($A214,'8.Non-elective admissions - CCG'!$D$5:$N$215,7,0)*$H214</f>
        <v>104.88770108411262</v>
      </c>
      <c r="O214" s="384">
        <f>VLOOKUP($A214,'8.Non-elective admissions - CCG'!$D$5:$N$215,8,0)*$H214</f>
        <v>106.0582473780012</v>
      </c>
      <c r="P214" s="384">
        <f>VLOOKUP($A214,'8.Non-elective admissions - CCG'!$D$5:$N$215,9,0)*$H214</f>
        <v>107.34134620014831</v>
      </c>
      <c r="Q214" s="384">
        <f>VLOOKUP($A214,'8.Non-elective admissions - CCG'!$D$5:$N$215,10,0)*$H214</f>
        <v>102.81673456415589</v>
      </c>
      <c r="R214" s="384">
        <f>VLOOKUP($A214,'8.Non-elective admissions - CCG'!$D$5:$Q$215,11,0)*$H214</f>
        <v>104.15610965043226</v>
      </c>
      <c r="S214" s="384">
        <f>VLOOKUP($A214,'8.Non-elective admissions - CCG'!$D$5:$Q$215,12,0)*$H214</f>
        <v>105.30414543866914</v>
      </c>
      <c r="T214" s="384">
        <f>VLOOKUP($A214,'8.Non-elective admissions - CCG'!$D$5:$Q$215,13,0)*$H214</f>
        <v>106.56473375516454</v>
      </c>
      <c r="U214" s="384">
        <f>VLOOKUP($A214,'8.Non-elective admissions - CCG'!$D$5:$Q$215,14,0)*$H214</f>
        <v>103.12062639045389</v>
      </c>
    </row>
    <row r="215" spans="1:21">
      <c r="A215" s="395" t="s">
        <v>186</v>
      </c>
      <c r="B215" s="395" t="s">
        <v>185</v>
      </c>
      <c r="C215" s="395" t="s">
        <v>917</v>
      </c>
      <c r="D215" s="395" t="s">
        <v>60</v>
      </c>
      <c r="E215" s="537">
        <f>COUNTIF($D$5:D215,D215)</f>
        <v>1</v>
      </c>
      <c r="F215" s="537" t="str">
        <f t="shared" si="6"/>
        <v>Bournemouth &amp; Poole1</v>
      </c>
      <c r="G215" s="541" t="str">
        <f t="shared" si="7"/>
        <v>NHS Dorset CCG</v>
      </c>
      <c r="H215" s="546">
        <v>0.45502710061907575</v>
      </c>
      <c r="I215" s="546">
        <v>1</v>
      </c>
      <c r="J215" s="384">
        <f>VLOOKUP($A215,'8.Non-elective admissions - CCG'!$D$5:$N$215,3,0)*$H215</f>
        <v>8994.9757250378898</v>
      </c>
      <c r="K215" s="384">
        <f>VLOOKUP($A215,'8.Non-elective admissions - CCG'!$D$5:$N$215,4,0)*$H215</f>
        <v>9151.5050476508513</v>
      </c>
      <c r="L215" s="384">
        <f>VLOOKUP($A215,'8.Non-elective admissions - CCG'!$D$5:$N$215,5,0)*$H215</f>
        <v>9464.1086657761571</v>
      </c>
      <c r="M215" s="384">
        <f>VLOOKUP($A215,'8.Non-elective admissions - CCG'!$D$5:$N$215,6,0)*$H215</f>
        <v>9626.5533406971663</v>
      </c>
      <c r="N215" s="384">
        <f>VLOOKUP($A215,'8.Non-elective admissions - CCG'!$D$5:$N$215,7,0)*$H215</f>
        <v>8765.1870392252567</v>
      </c>
      <c r="O215" s="384">
        <f>VLOOKUP($A215,'8.Non-elective admissions - CCG'!$D$5:$N$215,8,0)*$H215</f>
        <v>8907.610521719027</v>
      </c>
      <c r="P215" s="384">
        <f>VLOOKUP($A215,'8.Non-elective admissions - CCG'!$D$5:$N$215,9,0)*$H215</f>
        <v>9228.4046276554745</v>
      </c>
      <c r="Q215" s="384">
        <f>VLOOKUP($A215,'8.Non-elective admissions - CCG'!$D$5:$N$215,10,0)*$H215</f>
        <v>9093.7166058722287</v>
      </c>
      <c r="R215" s="384">
        <f>VLOOKUP($A215,'8.Non-elective admissions - CCG'!$D$5:$Q$215,11,0)*$H215</f>
        <v>8546.3190038274806</v>
      </c>
      <c r="S215" s="384">
        <f>VLOOKUP($A215,'8.Non-elective admissions - CCG'!$D$5:$Q$215,12,0)*$H215</f>
        <v>8685.1022695162992</v>
      </c>
      <c r="T215" s="384">
        <f>VLOOKUP($A215,'8.Non-elective admissions - CCG'!$D$5:$Q$215,13,0)*$H215</f>
        <v>8998.6159418428415</v>
      </c>
      <c r="U215" s="384">
        <f>VLOOKUP($A215,'8.Non-elective admissions - CCG'!$D$5:$Q$215,14,0)*$H215</f>
        <v>8867.11310976393</v>
      </c>
    </row>
    <row r="216" spans="1:21">
      <c r="A216" s="395" t="s">
        <v>186</v>
      </c>
      <c r="B216" s="395" t="s">
        <v>185</v>
      </c>
      <c r="C216" s="395" t="s">
        <v>684</v>
      </c>
      <c r="D216" s="395" t="s">
        <v>150</v>
      </c>
      <c r="E216" s="537">
        <f>COUNTIF($D$5:D216,D216)</f>
        <v>1</v>
      </c>
      <c r="F216" s="537" t="str">
        <f t="shared" si="6"/>
        <v>Devon1</v>
      </c>
      <c r="G216" s="541" t="str">
        <f t="shared" si="7"/>
        <v>NHS Dorset CCG</v>
      </c>
      <c r="H216" s="546">
        <v>3.2212489403786381E-3</v>
      </c>
      <c r="I216" s="546">
        <v>3.1889368811739557E-3</v>
      </c>
      <c r="J216" s="384">
        <f>VLOOKUP($A216,'8.Non-elective admissions - CCG'!$D$5:$N$215,3,0)*$H216</f>
        <v>63.67764905340492</v>
      </c>
      <c r="K216" s="384">
        <f>VLOOKUP($A216,'8.Non-elective admissions - CCG'!$D$5:$N$215,4,0)*$H216</f>
        <v>64.785758688895172</v>
      </c>
      <c r="L216" s="384">
        <f>VLOOKUP($A216,'8.Non-elective admissions - CCG'!$D$5:$N$215,5,0)*$H216</f>
        <v>66.998756710935297</v>
      </c>
      <c r="M216" s="384">
        <f>VLOOKUP($A216,'8.Non-elective admissions - CCG'!$D$5:$N$215,6,0)*$H216</f>
        <v>68.14874258265047</v>
      </c>
      <c r="N216" s="384">
        <f>VLOOKUP($A216,'8.Non-elective admissions - CCG'!$D$5:$N$215,7,0)*$H216</f>
        <v>62.050918338513704</v>
      </c>
      <c r="O216" s="384">
        <f>VLOOKUP($A216,'8.Non-elective admissions - CCG'!$D$5:$N$215,8,0)*$H216</f>
        <v>63.059169256852222</v>
      </c>
      <c r="P216" s="384">
        <f>VLOOKUP($A216,'8.Non-elective admissions - CCG'!$D$5:$N$215,9,0)*$H216</f>
        <v>65.330149759819165</v>
      </c>
      <c r="Q216" s="384">
        <f>VLOOKUP($A216,'8.Non-elective admissions - CCG'!$D$5:$N$215,10,0)*$H216</f>
        <v>64.376660073467079</v>
      </c>
      <c r="R216" s="384">
        <f>VLOOKUP($A216,'8.Non-elective admissions - CCG'!$D$5:$Q$215,11,0)*$H216</f>
        <v>60.501497598191584</v>
      </c>
      <c r="S216" s="384">
        <f>VLOOKUP($A216,'8.Non-elective admissions - CCG'!$D$5:$Q$215,12,0)*$H216</f>
        <v>61.483978525007068</v>
      </c>
      <c r="T216" s="384">
        <f>VLOOKUP($A216,'8.Non-elective admissions - CCG'!$D$5:$Q$215,13,0)*$H216</f>
        <v>63.703419044927948</v>
      </c>
      <c r="U216" s="384">
        <f>VLOOKUP($A216,'8.Non-elective admissions - CCG'!$D$5:$Q$215,14,0)*$H216</f>
        <v>62.772478101158519</v>
      </c>
    </row>
    <row r="217" spans="1:21">
      <c r="A217" s="395" t="s">
        <v>186</v>
      </c>
      <c r="B217" s="395" t="s">
        <v>185</v>
      </c>
      <c r="C217" s="395" t="s">
        <v>686</v>
      </c>
      <c r="D217" s="395" t="s">
        <v>158</v>
      </c>
      <c r="E217" s="537">
        <f>COUNTIF($D$5:D217,D217)</f>
        <v>1</v>
      </c>
      <c r="F217" s="537" t="str">
        <f t="shared" si="6"/>
        <v>Dorset1</v>
      </c>
      <c r="G217" s="541" t="str">
        <f t="shared" si="7"/>
        <v>NHS Dorset CCG</v>
      </c>
      <c r="H217" s="546">
        <v>0.52804592976958054</v>
      </c>
      <c r="I217" s="546">
        <v>0.95865521607435589</v>
      </c>
      <c r="J217" s="384">
        <f>VLOOKUP($A217,'8.Non-elective admissions - CCG'!$D$5:$N$215,3,0)*$H217</f>
        <v>10438.411939685067</v>
      </c>
      <c r="K217" s="384">
        <f>VLOOKUP($A217,'8.Non-elective admissions - CCG'!$D$5:$N$215,4,0)*$H217</f>
        <v>10620.059739525805</v>
      </c>
      <c r="L217" s="384">
        <f>VLOOKUP($A217,'8.Non-elective admissions - CCG'!$D$5:$N$215,5,0)*$H217</f>
        <v>10982.827293277505</v>
      </c>
      <c r="M217" s="384">
        <f>VLOOKUP($A217,'8.Non-elective admissions - CCG'!$D$5:$N$215,6,0)*$H217</f>
        <v>11171.339690205246</v>
      </c>
      <c r="N217" s="384">
        <f>VLOOKUP($A217,'8.Non-elective admissions - CCG'!$D$5:$N$215,7,0)*$H217</f>
        <v>10171.74874515143</v>
      </c>
      <c r="O217" s="384">
        <f>VLOOKUP($A217,'8.Non-elective admissions - CCG'!$D$5:$N$215,8,0)*$H217</f>
        <v>10337.027121169309</v>
      </c>
      <c r="P217" s="384">
        <f>VLOOKUP($A217,'8.Non-elective admissions - CCG'!$D$5:$N$215,9,0)*$H217</f>
        <v>10709.299501656862</v>
      </c>
      <c r="Q217" s="384">
        <f>VLOOKUP($A217,'8.Non-elective admissions - CCG'!$D$5:$N$215,10,0)*$H217</f>
        <v>10552.997906445067</v>
      </c>
      <c r="R217" s="384">
        <f>VLOOKUP($A217,'8.Non-elective admissions - CCG'!$D$5:$Q$215,11,0)*$H217</f>
        <v>9917.7586529322616</v>
      </c>
      <c r="S217" s="384">
        <f>VLOOKUP($A217,'8.Non-elective admissions - CCG'!$D$5:$Q$215,12,0)*$H217</f>
        <v>10078.812661511984</v>
      </c>
      <c r="T217" s="384">
        <f>VLOOKUP($A217,'8.Non-elective admissions - CCG'!$D$5:$Q$215,13,0)*$H217</f>
        <v>10442.636307123224</v>
      </c>
      <c r="U217" s="384">
        <f>VLOOKUP($A217,'8.Non-elective admissions - CCG'!$D$5:$Q$215,14,0)*$H217</f>
        <v>10290.031033419817</v>
      </c>
    </row>
    <row r="218" spans="1:21">
      <c r="A218" s="395" t="s">
        <v>186</v>
      </c>
      <c r="B218" s="395" t="s">
        <v>185</v>
      </c>
      <c r="C218" s="395" t="s">
        <v>699</v>
      </c>
      <c r="D218" s="395" t="s">
        <v>205</v>
      </c>
      <c r="E218" s="537">
        <f>COUNTIF($D$5:D218,D218)</f>
        <v>3</v>
      </c>
      <c r="F218" s="537" t="str">
        <f t="shared" si="6"/>
        <v>Hampshire3</v>
      </c>
      <c r="G218" s="541" t="str">
        <f t="shared" si="7"/>
        <v>NHS Dorset CCG</v>
      </c>
      <c r="H218" s="546">
        <v>5.3469136119602351E-3</v>
      </c>
      <c r="I218" s="546">
        <v>3.0661449138305015E-3</v>
      </c>
      <c r="J218" s="384">
        <f>VLOOKUP($A218,'8.Non-elective admissions - CCG'!$D$5:$N$215,3,0)*$H218</f>
        <v>105.69778828122993</v>
      </c>
      <c r="K218" s="384">
        <f>VLOOKUP($A218,'8.Non-elective admissions - CCG'!$D$5:$N$215,4,0)*$H218</f>
        <v>107.53712656374425</v>
      </c>
      <c r="L218" s="384">
        <f>VLOOKUP($A218,'8.Non-elective admissions - CCG'!$D$5:$N$215,5,0)*$H218</f>
        <v>111.21045621516093</v>
      </c>
      <c r="M218" s="384">
        <f>VLOOKUP($A218,'8.Non-elective admissions - CCG'!$D$5:$N$215,6,0)*$H218</f>
        <v>113.11930437463073</v>
      </c>
      <c r="N218" s="384">
        <f>VLOOKUP($A218,'8.Non-elective admissions - CCG'!$D$5:$N$215,7,0)*$H218</f>
        <v>102.99759690719002</v>
      </c>
      <c r="O218" s="384">
        <f>VLOOKUP($A218,'8.Non-elective admissions - CCG'!$D$5:$N$215,8,0)*$H218</f>
        <v>104.67118086773357</v>
      </c>
      <c r="P218" s="384">
        <f>VLOOKUP($A218,'8.Non-elective admissions - CCG'!$D$5:$N$215,9,0)*$H218</f>
        <v>108.44075496416554</v>
      </c>
      <c r="Q218" s="384">
        <f>VLOOKUP($A218,'8.Non-elective admissions - CCG'!$D$5:$N$215,10,0)*$H218</f>
        <v>106.8580685350253</v>
      </c>
      <c r="R218" s="384">
        <f>VLOOKUP($A218,'8.Non-elective admissions - CCG'!$D$5:$Q$215,11,0)*$H218</f>
        <v>100.42573145983714</v>
      </c>
      <c r="S218" s="384">
        <f>VLOOKUP($A218,'8.Non-elective admissions - CCG'!$D$5:$Q$215,12,0)*$H218</f>
        <v>102.05654011148501</v>
      </c>
      <c r="T218" s="384">
        <f>VLOOKUP($A218,'8.Non-elective admissions - CCG'!$D$5:$Q$215,13,0)*$H218</f>
        <v>105.7405635901256</v>
      </c>
      <c r="U218" s="384">
        <f>VLOOKUP($A218,'8.Non-elective admissions - CCG'!$D$5:$Q$215,14,0)*$H218</f>
        <v>104.1953055562691</v>
      </c>
    </row>
    <row r="219" spans="1:21">
      <c r="A219" s="395" t="s">
        <v>186</v>
      </c>
      <c r="B219" s="395" t="s">
        <v>185</v>
      </c>
      <c r="C219" s="395" t="s">
        <v>762</v>
      </c>
      <c r="D219" s="395" t="s">
        <v>402</v>
      </c>
      <c r="E219" s="537">
        <f>COUNTIF($D$5:D219,D219)</f>
        <v>2</v>
      </c>
      <c r="F219" s="537" t="str">
        <f t="shared" si="6"/>
        <v>Somerset2</v>
      </c>
      <c r="G219" s="541" t="str">
        <f t="shared" si="7"/>
        <v>NHS Dorset CCG</v>
      </c>
      <c r="H219" s="546">
        <v>5.4548023324513858E-3</v>
      </c>
      <c r="I219" s="546">
        <v>7.5904210923271867E-3</v>
      </c>
      <c r="J219" s="384">
        <f>VLOOKUP($A219,'8.Non-elective admissions - CCG'!$D$5:$N$215,3,0)*$H219</f>
        <v>107.83053250789899</v>
      </c>
      <c r="K219" s="384">
        <f>VLOOKUP($A219,'8.Non-elective admissions - CCG'!$D$5:$N$215,4,0)*$H219</f>
        <v>109.70698451026227</v>
      </c>
      <c r="L219" s="384">
        <f>VLOOKUP($A219,'8.Non-elective admissions - CCG'!$D$5:$N$215,5,0)*$H219</f>
        <v>113.45443371265637</v>
      </c>
      <c r="M219" s="384">
        <f>VLOOKUP($A219,'8.Non-elective admissions - CCG'!$D$5:$N$215,6,0)*$H219</f>
        <v>115.40179814534152</v>
      </c>
      <c r="N219" s="384">
        <f>VLOOKUP($A219,'8.Non-elective admissions - CCG'!$D$5:$N$215,7,0)*$H219</f>
        <v>105.07585733001105</v>
      </c>
      <c r="O219" s="384">
        <f>VLOOKUP($A219,'8.Non-elective admissions - CCG'!$D$5:$N$215,8,0)*$H219</f>
        <v>106.78321046006833</v>
      </c>
      <c r="P219" s="384">
        <f>VLOOKUP($A219,'8.Non-elective admissions - CCG'!$D$5:$N$215,9,0)*$H219</f>
        <v>110.62884610444655</v>
      </c>
      <c r="Q219" s="384">
        <f>VLOOKUP($A219,'8.Non-elective admissions - CCG'!$D$5:$N$215,10,0)*$H219</f>
        <v>109.01422461404094</v>
      </c>
      <c r="R219" s="384">
        <f>VLOOKUP($A219,'8.Non-elective admissions - CCG'!$D$5:$Q$215,11,0)*$H219</f>
        <v>102.45209740810193</v>
      </c>
      <c r="S219" s="384">
        <f>VLOOKUP($A219,'8.Non-elective admissions - CCG'!$D$5:$Q$215,12,0)*$H219</f>
        <v>104.11581211949959</v>
      </c>
      <c r="T219" s="384">
        <f>VLOOKUP($A219,'8.Non-elective admissions - CCG'!$D$5:$Q$215,13,0)*$H219</f>
        <v>107.87417092655861</v>
      </c>
      <c r="U219" s="384">
        <f>VLOOKUP($A219,'8.Non-elective admissions - CCG'!$D$5:$Q$215,14,0)*$H219</f>
        <v>106.29773305248015</v>
      </c>
    </row>
    <row r="220" spans="1:21">
      <c r="A220" s="395" t="s">
        <v>186</v>
      </c>
      <c r="B220" s="395" t="s">
        <v>185</v>
      </c>
      <c r="C220" s="395" t="s">
        <v>794</v>
      </c>
      <c r="D220" s="395" t="s">
        <v>498</v>
      </c>
      <c r="E220" s="537">
        <f>COUNTIF($D$5:D220,D220)</f>
        <v>2</v>
      </c>
      <c r="F220" s="537" t="str">
        <f t="shared" si="6"/>
        <v>Wiltshire2</v>
      </c>
      <c r="G220" s="541" t="str">
        <f t="shared" si="7"/>
        <v>NHS Dorset CCG</v>
      </c>
      <c r="H220" s="546">
        <v>2.9040047265534693E-3</v>
      </c>
      <c r="I220" s="546">
        <v>4.7269610302726212E-3</v>
      </c>
      <c r="J220" s="384">
        <f>VLOOKUP($A220,'8.Non-elective admissions - CCG'!$D$5:$N$215,3,0)*$H220</f>
        <v>57.406365434508977</v>
      </c>
      <c r="K220" s="384">
        <f>VLOOKUP($A220,'8.Non-elective admissions - CCG'!$D$5:$N$215,4,0)*$H220</f>
        <v>58.405343060443371</v>
      </c>
      <c r="L220" s="384">
        <f>VLOOKUP($A220,'8.Non-elective admissions - CCG'!$D$5:$N$215,5,0)*$H220</f>
        <v>60.400394307585607</v>
      </c>
      <c r="M220" s="384">
        <f>VLOOKUP($A220,'8.Non-elective admissions - CCG'!$D$5:$N$215,6,0)*$H220</f>
        <v>61.437123994965198</v>
      </c>
      <c r="N220" s="384">
        <f>VLOOKUP($A220,'8.Non-elective admissions - CCG'!$D$5:$N$215,7,0)*$H220</f>
        <v>55.939843047599481</v>
      </c>
      <c r="O220" s="384">
        <f>VLOOKUP($A220,'8.Non-elective admissions - CCG'!$D$5:$N$215,8,0)*$H220</f>
        <v>56.848796527010713</v>
      </c>
      <c r="P220" s="384">
        <f>VLOOKUP($A220,'8.Non-elective admissions - CCG'!$D$5:$N$215,9,0)*$H220</f>
        <v>58.896119859230907</v>
      </c>
      <c r="Q220" s="384">
        <f>VLOOKUP($A220,'8.Non-elective admissions - CCG'!$D$5:$N$215,10,0)*$H220</f>
        <v>58.036534460171083</v>
      </c>
      <c r="R220" s="384">
        <f>VLOOKUP($A220,'8.Non-elective admissions - CCG'!$D$5:$Q$215,11,0)*$H220</f>
        <v>54.54301677412726</v>
      </c>
      <c r="S220" s="384">
        <f>VLOOKUP($A220,'8.Non-elective admissions - CCG'!$D$5:$Q$215,12,0)*$H220</f>
        <v>55.428738215726071</v>
      </c>
      <c r="T220" s="384">
        <f>VLOOKUP($A220,'8.Non-elective admissions - CCG'!$D$5:$Q$215,13,0)*$H220</f>
        <v>57.429597472321412</v>
      </c>
      <c r="U220" s="384">
        <f>VLOOKUP($A220,'8.Non-elective admissions - CCG'!$D$5:$Q$215,14,0)*$H220</f>
        <v>56.590340106347455</v>
      </c>
    </row>
    <row r="221" spans="1:21">
      <c r="A221" s="395" t="s">
        <v>190</v>
      </c>
      <c r="B221" s="395" t="s">
        <v>189</v>
      </c>
      <c r="C221" s="395" t="s">
        <v>656</v>
      </c>
      <c r="D221" s="395" t="s">
        <v>45</v>
      </c>
      <c r="E221" s="537">
        <f>COUNTIF($D$5:D221,D221)</f>
        <v>3</v>
      </c>
      <c r="F221" s="537" t="str">
        <f t="shared" si="6"/>
        <v>Birmingham3</v>
      </c>
      <c r="G221" s="541" t="str">
        <f t="shared" si="7"/>
        <v>NHS Dudley CCG</v>
      </c>
      <c r="H221" s="546">
        <v>1.8265626195394387E-3</v>
      </c>
      <c r="I221" s="546">
        <v>0</v>
      </c>
      <c r="J221" s="384">
        <f>VLOOKUP($A221,'8.Non-elective admissions - CCG'!$D$5:$N$215,3,0)*$H221</f>
        <v>14.864566597811953</v>
      </c>
      <c r="K221" s="384">
        <f>VLOOKUP($A221,'8.Non-elective admissions - CCG'!$D$5:$N$215,4,0)*$H221</f>
        <v>14.84082128375794</v>
      </c>
      <c r="L221" s="384">
        <f>VLOOKUP($A221,'8.Non-elective admissions - CCG'!$D$5:$N$215,5,0)*$H221</f>
        <v>15.16960255527504</v>
      </c>
      <c r="M221" s="384">
        <f>VLOOKUP($A221,'8.Non-elective admissions - CCG'!$D$5:$N$215,6,0)*$H221</f>
        <v>15.816205722592001</v>
      </c>
      <c r="N221" s="384">
        <f>VLOOKUP($A221,'8.Non-elective admissions - CCG'!$D$5:$N$215,7,0)*$H221</f>
        <v>14.596061892739655</v>
      </c>
      <c r="O221" s="384">
        <f>VLOOKUP($A221,'8.Non-elective admissions - CCG'!$D$5:$N$215,8,0)*$H221</f>
        <v>14.758625965878664</v>
      </c>
      <c r="P221" s="384">
        <f>VLOOKUP($A221,'8.Non-elective admissions - CCG'!$D$5:$N$215,9,0)*$H221</f>
        <v>14.758625965878664</v>
      </c>
      <c r="Q221" s="384">
        <f>VLOOKUP($A221,'8.Non-elective admissions - CCG'!$D$5:$N$215,10,0)*$H221</f>
        <v>14.438977507459263</v>
      </c>
      <c r="R221" s="384">
        <f>VLOOKUP($A221,'8.Non-elective admissions - CCG'!$D$5:$Q$215,11,0)*$H221</f>
        <v>13.900141534695129</v>
      </c>
      <c r="S221" s="384">
        <f>VLOOKUP($A221,'8.Non-elective admissions - CCG'!$D$5:$Q$215,12,0)*$H221</f>
        <v>14.057225919975521</v>
      </c>
      <c r="T221" s="384">
        <f>VLOOKUP($A221,'8.Non-elective admissions - CCG'!$D$5:$Q$215,13,0)*$H221</f>
        <v>14.057225919975521</v>
      </c>
      <c r="U221" s="384">
        <f>VLOOKUP($A221,'8.Non-elective admissions - CCG'!$D$5:$Q$215,14,0)*$H221</f>
        <v>13.752189962512434</v>
      </c>
    </row>
    <row r="222" spans="1:21">
      <c r="A222" s="395" t="s">
        <v>190</v>
      </c>
      <c r="B222" s="395" t="s">
        <v>189</v>
      </c>
      <c r="C222" s="395" t="s">
        <v>687</v>
      </c>
      <c r="D222" s="395" t="s">
        <v>162</v>
      </c>
      <c r="E222" s="537">
        <f>COUNTIF($D$5:D222,D222)</f>
        <v>2</v>
      </c>
      <c r="F222" s="537" t="str">
        <f t="shared" si="6"/>
        <v>Dudley2</v>
      </c>
      <c r="G222" s="541" t="str">
        <f t="shared" si="7"/>
        <v>NHS Dudley CCG</v>
      </c>
      <c r="H222" s="546">
        <v>0.9307468186570782</v>
      </c>
      <c r="I222" s="546">
        <v>0.91003983269023381</v>
      </c>
      <c r="J222" s="384">
        <f>VLOOKUP($A222,'8.Non-elective admissions - CCG'!$D$5:$N$215,3,0)*$H222</f>
        <v>7574.4176102313022</v>
      </c>
      <c r="K222" s="384">
        <f>VLOOKUP($A222,'8.Non-elective admissions - CCG'!$D$5:$N$215,4,0)*$H222</f>
        <v>7562.3179015887608</v>
      </c>
      <c r="L222" s="384">
        <f>VLOOKUP($A222,'8.Non-elective admissions - CCG'!$D$5:$N$215,5,0)*$H222</f>
        <v>7729.852328947034</v>
      </c>
      <c r="M222" s="384">
        <f>VLOOKUP($A222,'8.Non-elective admissions - CCG'!$D$5:$N$215,6,0)*$H222</f>
        <v>8059.3367027516406</v>
      </c>
      <c r="N222" s="384">
        <f>VLOOKUP($A222,'8.Non-elective admissions - CCG'!$D$5:$N$215,7,0)*$H222</f>
        <v>7437.5978278887123</v>
      </c>
      <c r="O222" s="384">
        <f>VLOOKUP($A222,'8.Non-elective admissions - CCG'!$D$5:$N$215,8,0)*$H222</f>
        <v>7520.4342947491923</v>
      </c>
      <c r="P222" s="384">
        <f>VLOOKUP($A222,'8.Non-elective admissions - CCG'!$D$5:$N$215,9,0)*$H222</f>
        <v>7520.4342947491923</v>
      </c>
      <c r="Q222" s="384">
        <f>VLOOKUP($A222,'8.Non-elective admissions - CCG'!$D$5:$N$215,10,0)*$H222</f>
        <v>7357.5536014842028</v>
      </c>
      <c r="R222" s="384">
        <f>VLOOKUP($A222,'8.Non-elective admissions - CCG'!$D$5:$Q$215,11,0)*$H222</f>
        <v>7082.983289980365</v>
      </c>
      <c r="S222" s="384">
        <f>VLOOKUP($A222,'8.Non-elective admissions - CCG'!$D$5:$Q$215,12,0)*$H222</f>
        <v>7163.0275163848737</v>
      </c>
      <c r="T222" s="384">
        <f>VLOOKUP($A222,'8.Non-elective admissions - CCG'!$D$5:$Q$215,13,0)*$H222</f>
        <v>7163.0275163848737</v>
      </c>
      <c r="U222" s="384">
        <f>VLOOKUP($A222,'8.Non-elective admissions - CCG'!$D$5:$Q$215,14,0)*$H222</f>
        <v>7007.5927976691419</v>
      </c>
    </row>
    <row r="223" spans="1:21">
      <c r="A223" s="395" t="s">
        <v>190</v>
      </c>
      <c r="B223" s="395" t="s">
        <v>189</v>
      </c>
      <c r="C223" s="395" t="s">
        <v>756</v>
      </c>
      <c r="D223" s="395" t="s">
        <v>384</v>
      </c>
      <c r="E223" s="537">
        <f>COUNTIF($D$5:D223,D223)</f>
        <v>3</v>
      </c>
      <c r="F223" s="537" t="str">
        <f t="shared" si="6"/>
        <v>Sandwell3</v>
      </c>
      <c r="G223" s="541" t="str">
        <f t="shared" si="7"/>
        <v>NHS Dudley CCG</v>
      </c>
      <c r="H223" s="546">
        <v>3.0276948971004518E-2</v>
      </c>
      <c r="I223" s="546">
        <v>2.8413901212482016E-2</v>
      </c>
      <c r="J223" s="384">
        <f>VLOOKUP($A223,'8.Non-elective admissions - CCG'!$D$5:$N$215,3,0)*$H223</f>
        <v>246.39381072603476</v>
      </c>
      <c r="K223" s="384">
        <f>VLOOKUP($A223,'8.Non-elective admissions - CCG'!$D$5:$N$215,4,0)*$H223</f>
        <v>246.00021038941171</v>
      </c>
      <c r="L223" s="384">
        <f>VLOOKUP($A223,'8.Non-elective admissions - CCG'!$D$5:$N$215,5,0)*$H223</f>
        <v>251.45006120419251</v>
      </c>
      <c r="M223" s="384">
        <f>VLOOKUP($A223,'8.Non-elective admissions - CCG'!$D$5:$N$215,6,0)*$H223</f>
        <v>262.16810113992813</v>
      </c>
      <c r="N223" s="384">
        <f>VLOOKUP($A223,'8.Non-elective admissions - CCG'!$D$5:$N$215,7,0)*$H223</f>
        <v>241.9430992272971</v>
      </c>
      <c r="O223" s="384">
        <f>VLOOKUP($A223,'8.Non-elective admissions - CCG'!$D$5:$N$215,8,0)*$H223</f>
        <v>244.6377476857165</v>
      </c>
      <c r="P223" s="384">
        <f>VLOOKUP($A223,'8.Non-elective admissions - CCG'!$D$5:$N$215,9,0)*$H223</f>
        <v>244.6377476857165</v>
      </c>
      <c r="Q223" s="384">
        <f>VLOOKUP($A223,'8.Non-elective admissions - CCG'!$D$5:$N$215,10,0)*$H223</f>
        <v>239.33928161579072</v>
      </c>
      <c r="R223" s="384">
        <f>VLOOKUP($A223,'8.Non-elective admissions - CCG'!$D$5:$Q$215,11,0)*$H223</f>
        <v>230.40758166934438</v>
      </c>
      <c r="S223" s="384">
        <f>VLOOKUP($A223,'8.Non-elective admissions - CCG'!$D$5:$Q$215,12,0)*$H223</f>
        <v>233.01139928085078</v>
      </c>
      <c r="T223" s="384">
        <f>VLOOKUP($A223,'8.Non-elective admissions - CCG'!$D$5:$Q$215,13,0)*$H223</f>
        <v>233.01139928085078</v>
      </c>
      <c r="U223" s="384">
        <f>VLOOKUP($A223,'8.Non-elective admissions - CCG'!$D$5:$Q$215,14,0)*$H223</f>
        <v>227.955148802693</v>
      </c>
    </row>
    <row r="224" spans="1:21">
      <c r="A224" s="395" t="s">
        <v>190</v>
      </c>
      <c r="B224" s="395" t="s">
        <v>189</v>
      </c>
      <c r="C224" s="395" t="s">
        <v>769</v>
      </c>
      <c r="D224" s="395" t="s">
        <v>423</v>
      </c>
      <c r="E224" s="537">
        <f>COUNTIF($D$5:D224,D224)</f>
        <v>3</v>
      </c>
      <c r="F224" s="537" t="str">
        <f t="shared" si="6"/>
        <v>Staffordshire3</v>
      </c>
      <c r="G224" s="541" t="str">
        <f t="shared" si="7"/>
        <v>NHS Dudley CCG</v>
      </c>
      <c r="H224" s="546">
        <v>1.4574248336011019E-2</v>
      </c>
      <c r="I224" s="546">
        <v>5.2571544214370476E-3</v>
      </c>
      <c r="J224" s="384">
        <f>VLOOKUP($A224,'8.Non-elective admissions - CCG'!$D$5:$N$215,3,0)*$H224</f>
        <v>118.60523295845768</v>
      </c>
      <c r="K224" s="384">
        <f>VLOOKUP($A224,'8.Non-elective admissions - CCG'!$D$5:$N$215,4,0)*$H224</f>
        <v>118.41576773008953</v>
      </c>
      <c r="L224" s="384">
        <f>VLOOKUP($A224,'8.Non-elective admissions - CCG'!$D$5:$N$215,5,0)*$H224</f>
        <v>121.03913243057151</v>
      </c>
      <c r="M224" s="384">
        <f>VLOOKUP($A224,'8.Non-elective admissions - CCG'!$D$5:$N$215,6,0)*$H224</f>
        <v>126.19841634151942</v>
      </c>
      <c r="N224" s="384">
        <f>VLOOKUP($A224,'8.Non-elective admissions - CCG'!$D$5:$N$215,7,0)*$H224</f>
        <v>116.46281845306406</v>
      </c>
      <c r="O224" s="384">
        <f>VLOOKUP($A224,'8.Non-elective admissions - CCG'!$D$5:$N$215,8,0)*$H224</f>
        <v>117.75992655496903</v>
      </c>
      <c r="P224" s="384">
        <f>VLOOKUP($A224,'8.Non-elective admissions - CCG'!$D$5:$N$215,9,0)*$H224</f>
        <v>117.75992655496903</v>
      </c>
      <c r="Q224" s="384">
        <f>VLOOKUP($A224,'8.Non-elective admissions - CCG'!$D$5:$N$215,10,0)*$H224</f>
        <v>115.2094330961671</v>
      </c>
      <c r="R224" s="384">
        <f>VLOOKUP($A224,'8.Non-elective admissions - CCG'!$D$5:$Q$215,11,0)*$H224</f>
        <v>110.91002983704385</v>
      </c>
      <c r="S224" s="384">
        <f>VLOOKUP($A224,'8.Non-elective admissions - CCG'!$D$5:$Q$215,12,0)*$H224</f>
        <v>112.16341519394081</v>
      </c>
      <c r="T224" s="384">
        <f>VLOOKUP($A224,'8.Non-elective admissions - CCG'!$D$5:$Q$215,13,0)*$H224</f>
        <v>112.16341519394081</v>
      </c>
      <c r="U224" s="384">
        <f>VLOOKUP($A224,'8.Non-elective admissions - CCG'!$D$5:$Q$215,14,0)*$H224</f>
        <v>109.72951572182696</v>
      </c>
    </row>
    <row r="225" spans="1:21">
      <c r="A225" s="395" t="s">
        <v>190</v>
      </c>
      <c r="B225" s="395" t="s">
        <v>189</v>
      </c>
      <c r="C225" s="395" t="s">
        <v>798</v>
      </c>
      <c r="D225" s="395" t="s">
        <v>510</v>
      </c>
      <c r="E225" s="537">
        <f>COUNTIF($D$5:D225,D225)</f>
        <v>1</v>
      </c>
      <c r="F225" s="537" t="str">
        <f t="shared" si="6"/>
        <v>Wolverhampton1</v>
      </c>
      <c r="G225" s="541" t="str">
        <f t="shared" si="7"/>
        <v>NHS Dudley CCG</v>
      </c>
      <c r="H225" s="546">
        <v>1.4574248336011019E-2</v>
      </c>
      <c r="I225" s="546">
        <v>1.7189391603816856E-2</v>
      </c>
      <c r="J225" s="384">
        <f>VLOOKUP($A225,'8.Non-elective admissions - CCG'!$D$5:$N$215,3,0)*$H225</f>
        <v>118.60523295845768</v>
      </c>
      <c r="K225" s="384">
        <f>VLOOKUP($A225,'8.Non-elective admissions - CCG'!$D$5:$N$215,4,0)*$H225</f>
        <v>118.41576773008953</v>
      </c>
      <c r="L225" s="384">
        <f>VLOOKUP($A225,'8.Non-elective admissions - CCG'!$D$5:$N$215,5,0)*$H225</f>
        <v>121.03913243057151</v>
      </c>
      <c r="M225" s="384">
        <f>VLOOKUP($A225,'8.Non-elective admissions - CCG'!$D$5:$N$215,6,0)*$H225</f>
        <v>126.19841634151942</v>
      </c>
      <c r="N225" s="384">
        <f>VLOOKUP($A225,'8.Non-elective admissions - CCG'!$D$5:$N$215,7,0)*$H225</f>
        <v>116.46281845306406</v>
      </c>
      <c r="O225" s="384">
        <f>VLOOKUP($A225,'8.Non-elective admissions - CCG'!$D$5:$N$215,8,0)*$H225</f>
        <v>117.75992655496903</v>
      </c>
      <c r="P225" s="384">
        <f>VLOOKUP($A225,'8.Non-elective admissions - CCG'!$D$5:$N$215,9,0)*$H225</f>
        <v>117.75992655496903</v>
      </c>
      <c r="Q225" s="384">
        <f>VLOOKUP($A225,'8.Non-elective admissions - CCG'!$D$5:$N$215,10,0)*$H225</f>
        <v>115.2094330961671</v>
      </c>
      <c r="R225" s="384">
        <f>VLOOKUP($A225,'8.Non-elective admissions - CCG'!$D$5:$Q$215,11,0)*$H225</f>
        <v>110.91002983704385</v>
      </c>
      <c r="S225" s="384">
        <f>VLOOKUP($A225,'8.Non-elective admissions - CCG'!$D$5:$Q$215,12,0)*$H225</f>
        <v>112.16341519394081</v>
      </c>
      <c r="T225" s="384">
        <f>VLOOKUP($A225,'8.Non-elective admissions - CCG'!$D$5:$Q$215,13,0)*$H225</f>
        <v>112.16341519394081</v>
      </c>
      <c r="U225" s="384">
        <f>VLOOKUP($A225,'8.Non-elective admissions - CCG'!$D$5:$Q$215,14,0)*$H225</f>
        <v>109.72951572182696</v>
      </c>
    </row>
    <row r="226" spans="1:21">
      <c r="A226" s="395" t="s">
        <v>190</v>
      </c>
      <c r="B226" s="395" t="s">
        <v>189</v>
      </c>
      <c r="C226" s="395" t="s">
        <v>799</v>
      </c>
      <c r="D226" s="395" t="s">
        <v>513</v>
      </c>
      <c r="E226" s="537">
        <f>COUNTIF($D$5:D226,D226)</f>
        <v>3</v>
      </c>
      <c r="F226" s="537" t="str">
        <f t="shared" si="6"/>
        <v>Worcestershire3</v>
      </c>
      <c r="G226" s="541" t="str">
        <f t="shared" si="7"/>
        <v>NHS Dudley CCG</v>
      </c>
      <c r="H226" s="546">
        <v>8.0011730803560051E-3</v>
      </c>
      <c r="I226" s="546">
        <v>4.256921313099106E-3</v>
      </c>
      <c r="J226" s="384">
        <f>VLOOKUP($A226,'8.Non-elective admissions - CCG'!$D$5:$N$215,3,0)*$H226</f>
        <v>65.113546527937174</v>
      </c>
      <c r="K226" s="384">
        <f>VLOOKUP($A226,'8.Non-elective admissions - CCG'!$D$5:$N$215,4,0)*$H226</f>
        <v>65.009531277892549</v>
      </c>
      <c r="L226" s="384">
        <f>VLOOKUP($A226,'8.Non-elective admissions - CCG'!$D$5:$N$215,5,0)*$H226</f>
        <v>66.449742432356629</v>
      </c>
      <c r="M226" s="384">
        <f>VLOOKUP($A226,'8.Non-elective admissions - CCG'!$D$5:$N$215,6,0)*$H226</f>
        <v>69.28215770280265</v>
      </c>
      <c r="N226" s="384">
        <f>VLOOKUP($A226,'8.Non-elective admissions - CCG'!$D$5:$N$215,7,0)*$H226</f>
        <v>63.937374085124837</v>
      </c>
      <c r="O226" s="384">
        <f>VLOOKUP($A226,'8.Non-elective admissions - CCG'!$D$5:$N$215,8,0)*$H226</f>
        <v>64.649478489276518</v>
      </c>
      <c r="P226" s="384">
        <f>VLOOKUP($A226,'8.Non-elective admissions - CCG'!$D$5:$N$215,9,0)*$H226</f>
        <v>64.649478489276518</v>
      </c>
      <c r="Q226" s="384">
        <f>VLOOKUP($A226,'8.Non-elective admissions - CCG'!$D$5:$N$215,10,0)*$H226</f>
        <v>63.249273200214219</v>
      </c>
      <c r="R226" s="384">
        <f>VLOOKUP($A226,'8.Non-elective admissions - CCG'!$D$5:$Q$215,11,0)*$H226</f>
        <v>60.8889271415092</v>
      </c>
      <c r="S226" s="384">
        <f>VLOOKUP($A226,'8.Non-elective admissions - CCG'!$D$5:$Q$215,12,0)*$H226</f>
        <v>61.577028026419818</v>
      </c>
      <c r="T226" s="384">
        <f>VLOOKUP($A226,'8.Non-elective admissions - CCG'!$D$5:$Q$215,13,0)*$H226</f>
        <v>61.577028026419818</v>
      </c>
      <c r="U226" s="384">
        <f>VLOOKUP($A226,'8.Non-elective admissions - CCG'!$D$5:$Q$215,14,0)*$H226</f>
        <v>60.240832122000363</v>
      </c>
    </row>
    <row r="227" spans="1:21">
      <c r="A227" s="395" t="s">
        <v>194</v>
      </c>
      <c r="B227" s="395" t="s">
        <v>193</v>
      </c>
      <c r="C227" s="395" t="s">
        <v>677</v>
      </c>
      <c r="D227" s="395" t="s">
        <v>124</v>
      </c>
      <c r="E227" s="537">
        <f>COUNTIF($D$5:D227,D227)</f>
        <v>1</v>
      </c>
      <c r="F227" s="537" t="str">
        <f t="shared" si="6"/>
        <v>County Durham1</v>
      </c>
      <c r="G227" s="541" t="str">
        <f t="shared" si="7"/>
        <v>NHS Durham Dales, Easington and Sedgefield CCG</v>
      </c>
      <c r="H227" s="546">
        <v>0.97533437855537353</v>
      </c>
      <c r="I227" s="546">
        <v>0.52996377508132697</v>
      </c>
      <c r="J227" s="384">
        <f>VLOOKUP($A227,'8.Non-elective admissions - CCG'!$D$5:$N$215,3,0)*$H227</f>
        <v>8666.8212878430495</v>
      </c>
      <c r="K227" s="384">
        <f>VLOOKUP($A227,'8.Non-elective admissions - CCG'!$D$5:$N$215,4,0)*$H227</f>
        <v>8194.7594486222479</v>
      </c>
      <c r="L227" s="384">
        <f>VLOOKUP($A227,'8.Non-elective admissions - CCG'!$D$5:$N$215,5,0)*$H227</f>
        <v>8466.877740239197</v>
      </c>
      <c r="M227" s="384">
        <f>VLOOKUP($A227,'8.Non-elective admissions - CCG'!$D$5:$N$215,6,0)*$H227</f>
        <v>8261.082186364014</v>
      </c>
      <c r="N227" s="384">
        <f>VLOOKUP($A227,'8.Non-elective admissions - CCG'!$D$5:$N$215,7,0)*$H227</f>
        <v>8417.1356869328738</v>
      </c>
      <c r="O227" s="384">
        <f>VLOOKUP($A227,'8.Non-elective admissions - CCG'!$D$5:$N$215,8,0)*$H227</f>
        <v>8358.6156242195502</v>
      </c>
      <c r="P227" s="384">
        <f>VLOOKUP($A227,'8.Non-elective admissions - CCG'!$D$5:$N$215,9,0)*$H227</f>
        <v>8511.7431216527439</v>
      </c>
      <c r="Q227" s="384">
        <f>VLOOKUP($A227,'8.Non-elective admissions - CCG'!$D$5:$N$215,10,0)*$H227</f>
        <v>8576.1151906373998</v>
      </c>
      <c r="R227" s="384">
        <f>VLOOKUP($A227,'8.Non-elective admissions - CCG'!$D$5:$Q$215,11,0)*$H227</f>
        <v>8417.1356869328738</v>
      </c>
      <c r="S227" s="384">
        <f>VLOOKUP($A227,'8.Non-elective admissions - CCG'!$D$5:$Q$215,12,0)*$H227</f>
        <v>8358.6156242195502</v>
      </c>
      <c r="T227" s="384">
        <f>VLOOKUP($A227,'8.Non-elective admissions - CCG'!$D$5:$Q$215,13,0)*$H227</f>
        <v>8511.7431216527439</v>
      </c>
      <c r="U227" s="384">
        <f>VLOOKUP($A227,'8.Non-elective admissions - CCG'!$D$5:$Q$215,14,0)*$H227</f>
        <v>8576.1151906373998</v>
      </c>
    </row>
    <row r="228" spans="1:21">
      <c r="A228" s="395" t="s">
        <v>194</v>
      </c>
      <c r="B228" s="395" t="s">
        <v>193</v>
      </c>
      <c r="C228" s="395" t="s">
        <v>681</v>
      </c>
      <c r="D228" s="395" t="s">
        <v>139</v>
      </c>
      <c r="E228" s="537">
        <f>COUNTIF($D$5:D228,D228)</f>
        <v>2</v>
      </c>
      <c r="F228" s="537" t="str">
        <f t="shared" si="6"/>
        <v>Darlington2</v>
      </c>
      <c r="G228" s="541" t="str">
        <f t="shared" si="7"/>
        <v>NHS Durham Dales, Easington and Sedgefield CCG</v>
      </c>
      <c r="H228" s="546">
        <v>1.1380664317229512E-2</v>
      </c>
      <c r="I228" s="546">
        <v>3.0280097826588526E-2</v>
      </c>
      <c r="J228" s="384">
        <f>VLOOKUP($A228,'8.Non-elective admissions - CCG'!$D$5:$N$215,3,0)*$H228</f>
        <v>101.12858312290145</v>
      </c>
      <c r="K228" s="384">
        <f>VLOOKUP($A228,'8.Non-elective admissions - CCG'!$D$5:$N$215,4,0)*$H228</f>
        <v>95.620341593362355</v>
      </c>
      <c r="L228" s="384">
        <f>VLOOKUP($A228,'8.Non-elective admissions - CCG'!$D$5:$N$215,5,0)*$H228</f>
        <v>98.795546937869389</v>
      </c>
      <c r="M228" s="384">
        <f>VLOOKUP($A228,'8.Non-elective admissions - CCG'!$D$5:$N$215,6,0)*$H228</f>
        <v>96.394226766933969</v>
      </c>
      <c r="N228" s="384">
        <f>VLOOKUP($A228,'8.Non-elective admissions - CCG'!$D$5:$N$215,7,0)*$H228</f>
        <v>98.215133057690693</v>
      </c>
      <c r="O228" s="384">
        <f>VLOOKUP($A228,'8.Non-elective admissions - CCG'!$D$5:$N$215,8,0)*$H228</f>
        <v>97.532293198656916</v>
      </c>
      <c r="P228" s="384">
        <f>VLOOKUP($A228,'8.Non-elective admissions - CCG'!$D$5:$N$215,9,0)*$H228</f>
        <v>99.319057496461951</v>
      </c>
      <c r="Q228" s="384">
        <f>VLOOKUP($A228,'8.Non-elective admissions - CCG'!$D$5:$N$215,10,0)*$H228</f>
        <v>100.07018134139911</v>
      </c>
      <c r="R228" s="384">
        <f>VLOOKUP($A228,'8.Non-elective admissions - CCG'!$D$5:$Q$215,11,0)*$H228</f>
        <v>98.215133057690693</v>
      </c>
      <c r="S228" s="384">
        <f>VLOOKUP($A228,'8.Non-elective admissions - CCG'!$D$5:$Q$215,12,0)*$H228</f>
        <v>97.532293198656916</v>
      </c>
      <c r="T228" s="384">
        <f>VLOOKUP($A228,'8.Non-elective admissions - CCG'!$D$5:$Q$215,13,0)*$H228</f>
        <v>99.319057496461951</v>
      </c>
      <c r="U228" s="384">
        <f>VLOOKUP($A228,'8.Non-elective admissions - CCG'!$D$5:$Q$215,14,0)*$H228</f>
        <v>100.07018134139911</v>
      </c>
    </row>
    <row r="229" spans="1:21">
      <c r="A229" s="395" t="s">
        <v>194</v>
      </c>
      <c r="B229" s="395" t="s">
        <v>193</v>
      </c>
      <c r="C229" s="395" t="s">
        <v>702</v>
      </c>
      <c r="D229" s="395" t="s">
        <v>215</v>
      </c>
      <c r="E229" s="537">
        <f>COUNTIF($D$5:D229,D229)</f>
        <v>1</v>
      </c>
      <c r="F229" s="537" t="str">
        <f t="shared" si="6"/>
        <v>Hartlepool1</v>
      </c>
      <c r="G229" s="541" t="str">
        <f t="shared" si="7"/>
        <v>NHS Durham Dales, Easington and Sedgefield CCG</v>
      </c>
      <c r="H229" s="546">
        <v>1.1273135943613505E-3</v>
      </c>
      <c r="I229" s="546">
        <v>3.5114256388093573E-3</v>
      </c>
      <c r="J229" s="384">
        <f>VLOOKUP($A229,'8.Non-elective admissions - CCG'!$D$5:$N$215,3,0)*$H229</f>
        <v>10.01730859949496</v>
      </c>
      <c r="K229" s="384">
        <f>VLOOKUP($A229,'8.Non-elective admissions - CCG'!$D$5:$N$215,4,0)*$H229</f>
        <v>9.4716888198240667</v>
      </c>
      <c r="L229" s="384">
        <f>VLOOKUP($A229,'8.Non-elective admissions - CCG'!$D$5:$N$215,5,0)*$H229</f>
        <v>9.7862093126508842</v>
      </c>
      <c r="M229" s="384">
        <f>VLOOKUP($A229,'8.Non-elective admissions - CCG'!$D$5:$N$215,6,0)*$H229</f>
        <v>9.5483461442406394</v>
      </c>
      <c r="N229" s="384">
        <f>VLOOKUP($A229,'8.Non-elective admissions - CCG'!$D$5:$N$215,7,0)*$H229</f>
        <v>9.7287163193384547</v>
      </c>
      <c r="O229" s="384">
        <f>VLOOKUP($A229,'8.Non-elective admissions - CCG'!$D$5:$N$215,8,0)*$H229</f>
        <v>9.6610775036767738</v>
      </c>
      <c r="P229" s="384">
        <f>VLOOKUP($A229,'8.Non-elective admissions - CCG'!$D$5:$N$215,9,0)*$H229</f>
        <v>9.8380657379915064</v>
      </c>
      <c r="Q229" s="384">
        <f>VLOOKUP($A229,'8.Non-elective admissions - CCG'!$D$5:$N$215,10,0)*$H229</f>
        <v>9.9124684352193544</v>
      </c>
      <c r="R229" s="384">
        <f>VLOOKUP($A229,'8.Non-elective admissions - CCG'!$D$5:$Q$215,11,0)*$H229</f>
        <v>9.7287163193384547</v>
      </c>
      <c r="S229" s="384">
        <f>VLOOKUP($A229,'8.Non-elective admissions - CCG'!$D$5:$Q$215,12,0)*$H229</f>
        <v>9.6610775036767738</v>
      </c>
      <c r="T229" s="384">
        <f>VLOOKUP($A229,'8.Non-elective admissions - CCG'!$D$5:$Q$215,13,0)*$H229</f>
        <v>9.8380657379915064</v>
      </c>
      <c r="U229" s="384">
        <f>VLOOKUP($A229,'8.Non-elective admissions - CCG'!$D$5:$Q$215,14,0)*$H229</f>
        <v>9.9124684352193544</v>
      </c>
    </row>
    <row r="230" spans="1:21">
      <c r="A230" s="395" t="s">
        <v>194</v>
      </c>
      <c r="B230" s="395" t="s">
        <v>193</v>
      </c>
      <c r="C230" s="395" t="s">
        <v>738</v>
      </c>
      <c r="D230" s="395" t="s">
        <v>330</v>
      </c>
      <c r="E230" s="537">
        <f>COUNTIF($D$5:D230,D230)</f>
        <v>5</v>
      </c>
      <c r="F230" s="537" t="str">
        <f t="shared" si="6"/>
        <v>North Yorkshire5</v>
      </c>
      <c r="G230" s="541" t="str">
        <f t="shared" si="7"/>
        <v>NHS Durham Dales, Easington and Sedgefield CCG</v>
      </c>
      <c r="H230" s="546">
        <v>2.3344063046313508E-3</v>
      </c>
      <c r="I230" s="546">
        <v>1.1033944545001441E-3</v>
      </c>
      <c r="J230" s="384">
        <f>VLOOKUP($A230,'8.Non-elective admissions - CCG'!$D$5:$N$215,3,0)*$H230</f>
        <v>20.743534422954184</v>
      </c>
      <c r="K230" s="384">
        <f>VLOOKUP($A230,'8.Non-elective admissions - CCG'!$D$5:$N$215,4,0)*$H230</f>
        <v>19.61368177151261</v>
      </c>
      <c r="L230" s="384">
        <f>VLOOKUP($A230,'8.Non-elective admissions - CCG'!$D$5:$N$215,5,0)*$H230</f>
        <v>20.264981130504754</v>
      </c>
      <c r="M230" s="384">
        <f>VLOOKUP($A230,'8.Non-elective admissions - CCG'!$D$5:$N$215,6,0)*$H230</f>
        <v>19.77242140022754</v>
      </c>
      <c r="N230" s="384">
        <f>VLOOKUP($A230,'8.Non-elective admissions - CCG'!$D$5:$N$215,7,0)*$H230</f>
        <v>20.145926408968556</v>
      </c>
      <c r="O230" s="384">
        <f>VLOOKUP($A230,'8.Non-elective admissions - CCG'!$D$5:$N$215,8,0)*$H230</f>
        <v>20.005862030690675</v>
      </c>
      <c r="P230" s="384">
        <f>VLOOKUP($A230,'8.Non-elective admissions - CCG'!$D$5:$N$215,9,0)*$H230</f>
        <v>20.372363820517798</v>
      </c>
      <c r="Q230" s="384">
        <f>VLOOKUP($A230,'8.Non-elective admissions - CCG'!$D$5:$N$215,10,0)*$H230</f>
        <v>20.526434636623467</v>
      </c>
      <c r="R230" s="384">
        <f>VLOOKUP($A230,'8.Non-elective admissions - CCG'!$D$5:$Q$215,11,0)*$H230</f>
        <v>20.145926408968556</v>
      </c>
      <c r="S230" s="384">
        <f>VLOOKUP($A230,'8.Non-elective admissions - CCG'!$D$5:$Q$215,12,0)*$H230</f>
        <v>20.005862030690675</v>
      </c>
      <c r="T230" s="384">
        <f>VLOOKUP($A230,'8.Non-elective admissions - CCG'!$D$5:$Q$215,13,0)*$H230</f>
        <v>20.372363820517798</v>
      </c>
      <c r="U230" s="384">
        <f>VLOOKUP($A230,'8.Non-elective admissions - CCG'!$D$5:$Q$215,14,0)*$H230</f>
        <v>20.526434636623467</v>
      </c>
    </row>
    <row r="231" spans="1:21">
      <c r="A231" s="395" t="s">
        <v>194</v>
      </c>
      <c r="B231" s="395" t="s">
        <v>193</v>
      </c>
      <c r="C231" s="395" t="s">
        <v>771</v>
      </c>
      <c r="D231" s="395" t="s">
        <v>429</v>
      </c>
      <c r="E231" s="537">
        <f>COUNTIF($D$5:D231,D231)</f>
        <v>2</v>
      </c>
      <c r="F231" s="537" t="str">
        <f t="shared" si="6"/>
        <v>Stockton-on-Tees2</v>
      </c>
      <c r="G231" s="541" t="str">
        <f t="shared" si="7"/>
        <v>NHS Durham Dales, Easington and Sedgefield CCG</v>
      </c>
      <c r="H231" s="546">
        <v>3.3299109248827586E-3</v>
      </c>
      <c r="I231" s="546">
        <v>4.854761712112631E-3</v>
      </c>
      <c r="J231" s="384">
        <f>VLOOKUP($A231,'8.Non-elective admissions - CCG'!$D$5:$N$215,3,0)*$H231</f>
        <v>29.589588478508194</v>
      </c>
      <c r="K231" s="384">
        <f>VLOOKUP($A231,'8.Non-elective admissions - CCG'!$D$5:$N$215,4,0)*$H231</f>
        <v>27.977911590864938</v>
      </c>
      <c r="L231" s="384">
        <f>VLOOKUP($A231,'8.Non-elective admissions - CCG'!$D$5:$N$215,5,0)*$H231</f>
        <v>28.906956738907226</v>
      </c>
      <c r="M231" s="384">
        <f>VLOOKUP($A231,'8.Non-elective admissions - CCG'!$D$5:$N$215,6,0)*$H231</f>
        <v>28.204345533756968</v>
      </c>
      <c r="N231" s="384">
        <f>VLOOKUP($A231,'8.Non-elective admissions - CCG'!$D$5:$N$215,7,0)*$H231</f>
        <v>28.737131281738208</v>
      </c>
      <c r="O231" s="384">
        <f>VLOOKUP($A231,'8.Non-elective admissions - CCG'!$D$5:$N$215,8,0)*$H231</f>
        <v>28.537336626245242</v>
      </c>
      <c r="P231" s="384">
        <f>VLOOKUP($A231,'8.Non-elective admissions - CCG'!$D$5:$N$215,9,0)*$H231</f>
        <v>29.060132641451833</v>
      </c>
      <c r="Q231" s="384">
        <f>VLOOKUP($A231,'8.Non-elective admissions - CCG'!$D$5:$N$215,10,0)*$H231</f>
        <v>29.279906762494097</v>
      </c>
      <c r="R231" s="384">
        <f>VLOOKUP($A231,'8.Non-elective admissions - CCG'!$D$5:$Q$215,11,0)*$H231</f>
        <v>28.737131281738208</v>
      </c>
      <c r="S231" s="384">
        <f>VLOOKUP($A231,'8.Non-elective admissions - CCG'!$D$5:$Q$215,12,0)*$H231</f>
        <v>28.537336626245242</v>
      </c>
      <c r="T231" s="384">
        <f>VLOOKUP($A231,'8.Non-elective admissions - CCG'!$D$5:$Q$215,13,0)*$H231</f>
        <v>29.060132641451833</v>
      </c>
      <c r="U231" s="384">
        <f>VLOOKUP($A231,'8.Non-elective admissions - CCG'!$D$5:$Q$215,14,0)*$H231</f>
        <v>29.279906762494097</v>
      </c>
    </row>
    <row r="232" spans="1:21">
      <c r="A232" s="395" t="s">
        <v>194</v>
      </c>
      <c r="B232" s="395" t="s">
        <v>193</v>
      </c>
      <c r="C232" s="395" t="s">
        <v>774</v>
      </c>
      <c r="D232" s="395" t="s">
        <v>438</v>
      </c>
      <c r="E232" s="537">
        <f>COUNTIF($D$5:D232,D232)</f>
        <v>1</v>
      </c>
      <c r="F232" s="537" t="str">
        <f t="shared" si="6"/>
        <v>Sunderland1</v>
      </c>
      <c r="G232" s="541" t="str">
        <f t="shared" si="7"/>
        <v>NHS Durham Dales, Easington and Sedgefield CCG</v>
      </c>
      <c r="H232" s="546">
        <v>6.4933263035213797E-3</v>
      </c>
      <c r="I232" s="546">
        <v>6.4589809853396307E-3</v>
      </c>
      <c r="J232" s="384">
        <f>VLOOKUP($A232,'8.Non-elective admissions - CCG'!$D$5:$N$215,3,0)*$H232</f>
        <v>57.699697533090983</v>
      </c>
      <c r="K232" s="384">
        <f>VLOOKUP($A232,'8.Non-elective admissions - CCG'!$D$5:$N$215,4,0)*$H232</f>
        <v>54.556927602186633</v>
      </c>
      <c r="L232" s="384">
        <f>VLOOKUP($A232,'8.Non-elective admissions - CCG'!$D$5:$N$215,5,0)*$H232</f>
        <v>56.3685656408691</v>
      </c>
      <c r="M232" s="384">
        <f>VLOOKUP($A232,'8.Non-elective admissions - CCG'!$D$5:$N$215,6,0)*$H232</f>
        <v>54.998473790826083</v>
      </c>
      <c r="N232" s="384">
        <f>VLOOKUP($A232,'8.Non-elective admissions - CCG'!$D$5:$N$215,7,0)*$H232</f>
        <v>56.037405999389506</v>
      </c>
      <c r="O232" s="384">
        <f>VLOOKUP($A232,'8.Non-elective admissions - CCG'!$D$5:$N$215,8,0)*$H232</f>
        <v>55.647806421178224</v>
      </c>
      <c r="P232" s="384">
        <f>VLOOKUP($A232,'8.Non-elective admissions - CCG'!$D$5:$N$215,9,0)*$H232</f>
        <v>56.66725865083108</v>
      </c>
      <c r="Q232" s="384">
        <f>VLOOKUP($A232,'8.Non-elective admissions - CCG'!$D$5:$N$215,10,0)*$H232</f>
        <v>57.09581818686349</v>
      </c>
      <c r="R232" s="384">
        <f>VLOOKUP($A232,'8.Non-elective admissions - CCG'!$D$5:$Q$215,11,0)*$H232</f>
        <v>56.037405999389506</v>
      </c>
      <c r="S232" s="384">
        <f>VLOOKUP($A232,'8.Non-elective admissions - CCG'!$D$5:$Q$215,12,0)*$H232</f>
        <v>55.647806421178224</v>
      </c>
      <c r="T232" s="384">
        <f>VLOOKUP($A232,'8.Non-elective admissions - CCG'!$D$5:$Q$215,13,0)*$H232</f>
        <v>56.66725865083108</v>
      </c>
      <c r="U232" s="384">
        <f>VLOOKUP($A232,'8.Non-elective admissions - CCG'!$D$5:$Q$215,14,0)*$H232</f>
        <v>57.09581818686349</v>
      </c>
    </row>
    <row r="233" spans="1:21">
      <c r="A233" s="395" t="s">
        <v>197</v>
      </c>
      <c r="B233" s="395" t="s">
        <v>196</v>
      </c>
      <c r="C233" s="395" t="s">
        <v>663</v>
      </c>
      <c r="D233" s="395" t="s">
        <v>72</v>
      </c>
      <c r="E233" s="537">
        <f>COUNTIF($D$5:D233,D233)</f>
        <v>5</v>
      </c>
      <c r="F233" s="537" t="str">
        <f t="shared" si="6"/>
        <v>Brent5</v>
      </c>
      <c r="G233" s="541" t="str">
        <f t="shared" si="7"/>
        <v>NHS Ealing CCG</v>
      </c>
      <c r="H233" s="546">
        <v>5.5698569031111282E-3</v>
      </c>
      <c r="I233" s="546">
        <v>6.2983156113336821E-3</v>
      </c>
      <c r="J233" s="384">
        <f>VLOOKUP($A233,'8.Non-elective admissions - CCG'!$D$5:$N$215,3,0)*$H233</f>
        <v>51.950055335317494</v>
      </c>
      <c r="K233" s="384">
        <f>VLOOKUP($A233,'8.Non-elective admissions - CCG'!$D$5:$N$215,4,0)*$H233</f>
        <v>53.698990402894388</v>
      </c>
      <c r="L233" s="384">
        <f>VLOOKUP($A233,'8.Non-elective admissions - CCG'!$D$5:$N$215,5,0)*$H233</f>
        <v>53.453916699157496</v>
      </c>
      <c r="M233" s="384">
        <f>VLOOKUP($A233,'8.Non-elective admissions - CCG'!$D$5:$N$215,6,0)*$H233</f>
        <v>52.016893618154825</v>
      </c>
      <c r="N233" s="384">
        <f>VLOOKUP($A233,'8.Non-elective admissions - CCG'!$D$5:$N$215,7,0)*$H233</f>
        <v>54.774917789340748</v>
      </c>
      <c r="O233" s="384">
        <f>VLOOKUP($A233,'8.Non-elective admissions - CCG'!$D$5:$N$215,8,0)*$H233</f>
        <v>54.888147151381439</v>
      </c>
      <c r="P233" s="384">
        <f>VLOOKUP($A233,'8.Non-elective admissions - CCG'!$D$5:$N$215,9,0)*$H233</f>
        <v>54.963684117967141</v>
      </c>
      <c r="Q233" s="384">
        <f>VLOOKUP($A233,'8.Non-elective admissions - CCG'!$D$5:$N$215,10,0)*$H233</f>
        <v>53.586235538634213</v>
      </c>
      <c r="R233" s="384">
        <f>VLOOKUP($A233,'8.Non-elective admissions - CCG'!$D$5:$Q$215,11,0)*$H233</f>
        <v>55.130665090018567</v>
      </c>
      <c r="S233" s="384">
        <f>VLOOKUP($A233,'8.Non-elective admissions - CCG'!$D$5:$Q$215,12,0)*$H233</f>
        <v>55.261895912812356</v>
      </c>
      <c r="T233" s="384">
        <f>VLOOKUP($A233,'8.Non-elective admissions - CCG'!$D$5:$Q$215,13,0)*$H233</f>
        <v>55.334625252554261</v>
      </c>
      <c r="U233" s="384">
        <f>VLOOKUP($A233,'8.Non-elective admissions - CCG'!$D$5:$Q$215,14,0)*$H233</f>
        <v>53.959664964406194</v>
      </c>
    </row>
    <row r="234" spans="1:21">
      <c r="A234" s="395" t="s">
        <v>197</v>
      </c>
      <c r="B234" s="395" t="s">
        <v>196</v>
      </c>
      <c r="C234" s="395" t="s">
        <v>688</v>
      </c>
      <c r="D234" s="395" t="s">
        <v>166</v>
      </c>
      <c r="E234" s="537">
        <f>COUNTIF($D$5:D234,D234)</f>
        <v>3</v>
      </c>
      <c r="F234" s="537" t="str">
        <f t="shared" si="6"/>
        <v>Ealing3</v>
      </c>
      <c r="G234" s="541" t="str">
        <f t="shared" si="7"/>
        <v>NHS Ealing CCG</v>
      </c>
      <c r="H234" s="546">
        <v>0.86564294311238754</v>
      </c>
      <c r="I234" s="546">
        <v>0.90792391296065345</v>
      </c>
      <c r="J234" s="384">
        <f>VLOOKUP($A234,'8.Non-elective admissions - CCG'!$D$5:$N$215,3,0)*$H234</f>
        <v>8073.8517304092384</v>
      </c>
      <c r="K234" s="384">
        <f>VLOOKUP($A234,'8.Non-elective admissions - CCG'!$D$5:$N$215,4,0)*$H234</f>
        <v>8345.6636145465291</v>
      </c>
      <c r="L234" s="384">
        <f>VLOOKUP($A234,'8.Non-elective admissions - CCG'!$D$5:$N$215,5,0)*$H234</f>
        <v>8307.5753250495836</v>
      </c>
      <c r="M234" s="384">
        <f>VLOOKUP($A234,'8.Non-elective admissions - CCG'!$D$5:$N$215,6,0)*$H234</f>
        <v>8084.2394457265873</v>
      </c>
      <c r="N234" s="384">
        <f>VLOOKUP($A234,'8.Non-elective admissions - CCG'!$D$5:$N$215,7,0)*$H234</f>
        <v>8512.8795710028626</v>
      </c>
      <c r="O234" s="384">
        <f>VLOOKUP($A234,'8.Non-elective admissions - CCG'!$D$5:$N$215,8,0)*$H234</f>
        <v>8530.4771861496538</v>
      </c>
      <c r="P234" s="384">
        <f>VLOOKUP($A234,'8.Non-elective admissions - CCG'!$D$5:$N$215,9,0)*$H234</f>
        <v>8542.2168130748087</v>
      </c>
      <c r="Q234" s="384">
        <f>VLOOKUP($A234,'8.Non-elective admissions - CCG'!$D$5:$N$215,10,0)*$H234</f>
        <v>8328.1397437817523</v>
      </c>
      <c r="R234" s="384">
        <f>VLOOKUP($A234,'8.Non-elective admissions - CCG'!$D$5:$Q$215,11,0)*$H234</f>
        <v>8568.168269746815</v>
      </c>
      <c r="S234" s="384">
        <f>VLOOKUP($A234,'8.Non-elective admissions - CCG'!$D$5:$Q$215,12,0)*$H234</f>
        <v>8588.5635936566323</v>
      </c>
      <c r="T234" s="384">
        <f>VLOOKUP($A234,'8.Non-elective admissions - CCG'!$D$5:$Q$215,13,0)*$H234</f>
        <v>8599.8668714247979</v>
      </c>
      <c r="U234" s="384">
        <f>VLOOKUP($A234,'8.Non-elective admissions - CCG'!$D$5:$Q$215,14,0)*$H234</f>
        <v>8386.1765215290343</v>
      </c>
    </row>
    <row r="235" spans="1:21">
      <c r="A235" s="395" t="s">
        <v>197</v>
      </c>
      <c r="B235" s="395" t="s">
        <v>196</v>
      </c>
      <c r="C235" s="395" t="s">
        <v>698</v>
      </c>
      <c r="D235" s="395" t="s">
        <v>202</v>
      </c>
      <c r="E235" s="537">
        <f>COUNTIF($D$5:D235,D235)</f>
        <v>4</v>
      </c>
      <c r="F235" s="537" t="str">
        <f t="shared" si="6"/>
        <v>Hammersmith and Fulham4</v>
      </c>
      <c r="G235" s="541" t="str">
        <f t="shared" si="7"/>
        <v>NHS Ealing CCG</v>
      </c>
      <c r="H235" s="546">
        <v>6.1776978086245599E-3</v>
      </c>
      <c r="I235" s="546">
        <v>1.2230143396154051E-2</v>
      </c>
      <c r="J235" s="384">
        <f>VLOOKUP($A235,'8.Non-elective admissions - CCG'!$D$5:$N$215,3,0)*$H235</f>
        <v>57.619387461041271</v>
      </c>
      <c r="K235" s="384">
        <f>VLOOKUP($A235,'8.Non-elective admissions - CCG'!$D$5:$N$215,4,0)*$H235</f>
        <v>59.559184572949384</v>
      </c>
      <c r="L235" s="384">
        <f>VLOOKUP($A235,'8.Non-elective admissions - CCG'!$D$5:$N$215,5,0)*$H235</f>
        <v>59.2873658693699</v>
      </c>
      <c r="M235" s="384">
        <f>VLOOKUP($A235,'8.Non-elective admissions - CCG'!$D$5:$N$215,6,0)*$H235</f>
        <v>57.693519834744762</v>
      </c>
      <c r="N235" s="384">
        <f>VLOOKUP($A235,'8.Non-elective admissions - CCG'!$D$5:$N$215,7,0)*$H235</f>
        <v>60.752528382873152</v>
      </c>
      <c r="O235" s="384">
        <f>VLOOKUP($A235,'8.Non-elective admissions - CCG'!$D$5:$N$215,8,0)*$H235</f>
        <v>60.878114514423501</v>
      </c>
      <c r="P235" s="384">
        <f>VLOOKUP($A235,'8.Non-elective admissions - CCG'!$D$5:$N$215,9,0)*$H235</f>
        <v>60.961894863014862</v>
      </c>
      <c r="Q235" s="384">
        <f>VLOOKUP($A235,'8.Non-elective admissions - CCG'!$D$5:$N$215,10,0)*$H235</f>
        <v>59.434124721328644</v>
      </c>
      <c r="R235" s="384">
        <f>VLOOKUP($A235,'8.Non-elective admissions - CCG'!$D$5:$Q$215,11,0)*$H235</f>
        <v>61.147098541146683</v>
      </c>
      <c r="S235" s="384">
        <f>VLOOKUP($A235,'8.Non-elective admissions - CCG'!$D$5:$Q$215,12,0)*$H235</f>
        <v>61.292650640688834</v>
      </c>
      <c r="T235" s="384">
        <f>VLOOKUP($A235,'8.Non-elective admissions - CCG'!$D$5:$Q$215,13,0)*$H235</f>
        <v>61.37331696489823</v>
      </c>
      <c r="U235" s="384">
        <f>VLOOKUP($A235,'8.Non-elective admissions - CCG'!$D$5:$Q$215,14,0)*$H235</f>
        <v>59.848306662695741</v>
      </c>
    </row>
    <row r="236" spans="1:21">
      <c r="A236" s="395" t="s">
        <v>197</v>
      </c>
      <c r="B236" s="395" t="s">
        <v>196</v>
      </c>
      <c r="C236" s="395" t="s">
        <v>701</v>
      </c>
      <c r="D236" s="395" t="s">
        <v>212</v>
      </c>
      <c r="E236" s="537">
        <f>COUNTIF($D$5:D236,D236)</f>
        <v>3</v>
      </c>
      <c r="F236" s="537" t="str">
        <f t="shared" si="6"/>
        <v>Harrow3</v>
      </c>
      <c r="G236" s="541" t="str">
        <f t="shared" si="7"/>
        <v>NHS Ealing CCG</v>
      </c>
      <c r="H236" s="546">
        <v>1.2788875784926029E-2</v>
      </c>
      <c r="I236" s="546">
        <v>1.9675343787606138E-2</v>
      </c>
      <c r="J236" s="384">
        <f>VLOOKUP($A236,'8.Non-elective admissions - CCG'!$D$5:$N$215,3,0)*$H236</f>
        <v>119.28184444600507</v>
      </c>
      <c r="K236" s="384">
        <f>VLOOKUP($A236,'8.Non-elective admissions - CCG'!$D$5:$N$215,4,0)*$H236</f>
        <v>123.29755144247184</v>
      </c>
      <c r="L236" s="384">
        <f>VLOOKUP($A236,'8.Non-elective admissions - CCG'!$D$5:$N$215,5,0)*$H236</f>
        <v>122.73484090793509</v>
      </c>
      <c r="M236" s="384">
        <f>VLOOKUP($A236,'8.Non-elective admissions - CCG'!$D$5:$N$215,6,0)*$H236</f>
        <v>119.43531095542419</v>
      </c>
      <c r="N236" s="384">
        <f>VLOOKUP($A236,'8.Non-elective admissions - CCG'!$D$5:$N$215,7,0)*$H236</f>
        <v>125.76797428065585</v>
      </c>
      <c r="O236" s="384">
        <f>VLOOKUP($A236,'8.Non-elective admissions - CCG'!$D$5:$N$215,8,0)*$H236</f>
        <v>126.02795874193276</v>
      </c>
      <c r="P236" s="384">
        <f>VLOOKUP($A236,'8.Non-elective admissions - CCG'!$D$5:$N$215,9,0)*$H236</f>
        <v>126.20139818564542</v>
      </c>
      <c r="Q236" s="384">
        <f>VLOOKUP($A236,'8.Non-elective admissions - CCG'!$D$5:$N$215,10,0)*$H236</f>
        <v>123.03865646935968</v>
      </c>
      <c r="R236" s="384">
        <f>VLOOKUP($A236,'8.Non-elective admissions - CCG'!$D$5:$Q$215,11,0)*$H236</f>
        <v>126.58480101756001</v>
      </c>
      <c r="S236" s="384">
        <f>VLOOKUP($A236,'8.Non-elective admissions - CCG'!$D$5:$Q$215,12,0)*$H236</f>
        <v>126.88611839807045</v>
      </c>
      <c r="T236" s="384">
        <f>VLOOKUP($A236,'8.Non-elective admissions - CCG'!$D$5:$Q$215,13,0)*$H236</f>
        <v>127.05311128640828</v>
      </c>
      <c r="U236" s="384">
        <f>VLOOKUP($A236,'8.Non-elective admissions - CCG'!$D$5:$Q$215,14,0)*$H236</f>
        <v>123.89608290305613</v>
      </c>
    </row>
    <row r="237" spans="1:21">
      <c r="A237" s="395" t="s">
        <v>197</v>
      </c>
      <c r="B237" s="395" t="s">
        <v>196</v>
      </c>
      <c r="C237" s="395" t="s">
        <v>706</v>
      </c>
      <c r="D237" s="395" t="s">
        <v>231</v>
      </c>
      <c r="E237" s="537">
        <f>COUNTIF($D$5:D237,D237)</f>
        <v>2</v>
      </c>
      <c r="F237" s="537" t="str">
        <f t="shared" si="6"/>
        <v>Hillingdon2</v>
      </c>
      <c r="G237" s="541" t="str">
        <f t="shared" si="7"/>
        <v>NHS Ealing CCG</v>
      </c>
      <c r="H237" s="546">
        <v>5.1213623385649616E-2</v>
      </c>
      <c r="I237" s="546">
        <v>6.8454529269911135E-2</v>
      </c>
      <c r="J237" s="384">
        <f>VLOOKUP($A237,'8.Non-elective admissions - CCG'!$D$5:$N$215,3,0)*$H237</f>
        <v>477.66946531795395</v>
      </c>
      <c r="K237" s="384">
        <f>VLOOKUP($A237,'8.Non-elective admissions - CCG'!$D$5:$N$215,4,0)*$H237</f>
        <v>493.75054306104795</v>
      </c>
      <c r="L237" s="384">
        <f>VLOOKUP($A237,'8.Non-elective admissions - CCG'!$D$5:$N$215,5,0)*$H237</f>
        <v>491.49714363207937</v>
      </c>
      <c r="M237" s="384">
        <f>VLOOKUP($A237,'8.Non-elective admissions - CCG'!$D$5:$N$215,6,0)*$H237</f>
        <v>478.28402879858174</v>
      </c>
      <c r="N237" s="384">
        <f>VLOOKUP($A237,'8.Non-elective admissions - CCG'!$D$5:$N$215,7,0)*$H237</f>
        <v>503.6434614821643</v>
      </c>
      <c r="O237" s="384">
        <f>VLOOKUP($A237,'8.Non-elective admissions - CCG'!$D$5:$N$215,8,0)*$H237</f>
        <v>504.68458085104976</v>
      </c>
      <c r="P237" s="384">
        <f>VLOOKUP($A237,'8.Non-elective admissions - CCG'!$D$5:$N$215,9,0)*$H237</f>
        <v>505.37912683772561</v>
      </c>
      <c r="Q237" s="384">
        <f>VLOOKUP($A237,'8.Non-elective admissions - CCG'!$D$5:$N$215,10,0)*$H237</f>
        <v>492.71378659610269</v>
      </c>
      <c r="R237" s="384">
        <f>VLOOKUP($A237,'8.Non-elective admissions - CCG'!$D$5:$Q$215,11,0)*$H237</f>
        <v>506.91448057552714</v>
      </c>
      <c r="S237" s="384">
        <f>VLOOKUP($A237,'8.Non-elective admissions - CCG'!$D$5:$Q$215,12,0)*$H237</f>
        <v>508.12111946267629</v>
      </c>
      <c r="T237" s="384">
        <f>VLOOKUP($A237,'8.Non-elective admissions - CCG'!$D$5:$Q$215,13,0)*$H237</f>
        <v>508.7898499308771</v>
      </c>
      <c r="U237" s="384">
        <f>VLOOKUP($A237,'8.Non-elective admissions - CCG'!$D$5:$Q$215,14,0)*$H237</f>
        <v>496.1473889857661</v>
      </c>
    </row>
    <row r="238" spans="1:21">
      <c r="A238" s="395" t="s">
        <v>197</v>
      </c>
      <c r="B238" s="395" t="s">
        <v>196</v>
      </c>
      <c r="C238" s="395" t="s">
        <v>707</v>
      </c>
      <c r="D238" s="395" t="s">
        <v>234</v>
      </c>
      <c r="E238" s="537">
        <f>COUNTIF($D$5:D238,D238)</f>
        <v>1</v>
      </c>
      <c r="F238" s="537" t="str">
        <f t="shared" si="6"/>
        <v>Hounslow1</v>
      </c>
      <c r="G238" s="541" t="str">
        <f t="shared" si="7"/>
        <v>NHS Ealing CCG</v>
      </c>
      <c r="H238" s="546">
        <v>5.8607003005301042E-2</v>
      </c>
      <c r="I238" s="546">
        <v>8.1246579895323828E-2</v>
      </c>
      <c r="J238" s="384">
        <f>VLOOKUP($A238,'8.Non-elective admissions - CCG'!$D$5:$N$215,3,0)*$H238</f>
        <v>546.62751703044285</v>
      </c>
      <c r="K238" s="384">
        <f>VLOOKUP($A238,'8.Non-elective admissions - CCG'!$D$5:$N$215,4,0)*$H238</f>
        <v>565.03011597410739</v>
      </c>
      <c r="L238" s="384">
        <f>VLOOKUP($A238,'8.Non-elective admissions - CCG'!$D$5:$N$215,5,0)*$H238</f>
        <v>562.45140784187413</v>
      </c>
      <c r="M238" s="384">
        <f>VLOOKUP($A238,'8.Non-elective admissions - CCG'!$D$5:$N$215,6,0)*$H238</f>
        <v>547.33080106650641</v>
      </c>
      <c r="N238" s="384">
        <f>VLOOKUP($A238,'8.Non-elective admissions - CCG'!$D$5:$N$215,7,0)*$H238</f>
        <v>576.35121105210226</v>
      </c>
      <c r="O238" s="384">
        <f>VLOOKUP($A238,'8.Non-elective admissions - CCG'!$D$5:$N$215,8,0)*$H238</f>
        <v>577.54263009155738</v>
      </c>
      <c r="P238" s="384">
        <f>VLOOKUP($A238,'8.Non-elective admissions - CCG'!$D$5:$N$215,9,0)*$H238</f>
        <v>578.33744319083598</v>
      </c>
      <c r="Q238" s="384">
        <f>VLOOKUP($A238,'8.Non-elective admissions - CCG'!$D$5:$N$215,10,0)*$H238</f>
        <v>563.84368968282024</v>
      </c>
      <c r="R238" s="384">
        <f>VLOOKUP($A238,'8.Non-elective admissions - CCG'!$D$5:$Q$215,11,0)*$H238</f>
        <v>580.09444601893006</v>
      </c>
      <c r="S238" s="384">
        <f>VLOOKUP($A238,'8.Non-elective admissions - CCG'!$D$5:$Q$215,12,0)*$H238</f>
        <v>581.47527955911812</v>
      </c>
      <c r="T238" s="384">
        <f>VLOOKUP($A238,'8.Non-elective admissions - CCG'!$D$5:$Q$215,13,0)*$H238</f>
        <v>582.24055032046329</v>
      </c>
      <c r="U238" s="384">
        <f>VLOOKUP($A238,'8.Non-elective admissions - CCG'!$D$5:$Q$215,14,0)*$H238</f>
        <v>567.77297904504098</v>
      </c>
    </row>
    <row r="239" spans="1:21">
      <c r="A239" s="395" t="s">
        <v>200</v>
      </c>
      <c r="B239" s="395" t="s">
        <v>199</v>
      </c>
      <c r="C239" s="395" t="s">
        <v>670</v>
      </c>
      <c r="D239" s="395" t="s">
        <v>98</v>
      </c>
      <c r="E239" s="537">
        <f>COUNTIF($D$5:D239,D239)</f>
        <v>3</v>
      </c>
      <c r="F239" s="537" t="str">
        <f t="shared" si="6"/>
        <v>Cambridgeshire3</v>
      </c>
      <c r="G239" s="541" t="str">
        <f t="shared" si="7"/>
        <v>NHS East and North Hertfordshire CCG</v>
      </c>
      <c r="H239" s="546">
        <v>8.5989722123078101E-3</v>
      </c>
      <c r="I239" s="546">
        <v>7.3833510863032352E-3</v>
      </c>
      <c r="J239" s="384">
        <f>VLOOKUP($A239,'8.Non-elective admissions - CCG'!$D$5:$N$215,3,0)*$H239</f>
        <v>98.870982497115207</v>
      </c>
      <c r="K239" s="384">
        <f>VLOOKUP($A239,'8.Non-elective admissions - CCG'!$D$5:$N$215,4,0)*$H239</f>
        <v>103.95297507458912</v>
      </c>
      <c r="L239" s="384">
        <f>VLOOKUP($A239,'8.Non-elective admissions - CCG'!$D$5:$N$215,5,0)*$H239</f>
        <v>108.79419643011842</v>
      </c>
      <c r="M239" s="384">
        <f>VLOOKUP($A239,'8.Non-elective admissions - CCG'!$D$5:$N$215,6,0)*$H239</f>
        <v>110.53118881700459</v>
      </c>
      <c r="N239" s="384">
        <f>VLOOKUP($A239,'8.Non-elective admissions - CCG'!$D$5:$N$215,7,0)*$H239</f>
        <v>103.35104701972757</v>
      </c>
      <c r="O239" s="384">
        <f>VLOOKUP($A239,'8.Non-elective admissions - CCG'!$D$5:$N$215,8,0)*$H239</f>
        <v>104.43451751847836</v>
      </c>
      <c r="P239" s="384">
        <f>VLOOKUP($A239,'8.Non-elective admissions - CCG'!$D$5:$N$215,9,0)*$H239</f>
        <v>104.49471032396451</v>
      </c>
      <c r="Q239" s="384">
        <f>VLOOKUP($A239,'8.Non-elective admissions - CCG'!$D$5:$N$215,10,0)*$H239</f>
        <v>102.1815867988537</v>
      </c>
      <c r="R239" s="384">
        <f>VLOOKUP($A239,'8.Non-elective admissions - CCG'!$D$5:$Q$215,11,0)*$H239</f>
        <v>102.25037857655217</v>
      </c>
      <c r="S239" s="384">
        <f>VLOOKUP($A239,'8.Non-elective admissions - CCG'!$D$5:$Q$215,12,0)*$H239</f>
        <v>103.31665113087834</v>
      </c>
      <c r="T239" s="384">
        <f>VLOOKUP($A239,'8.Non-elective admissions - CCG'!$D$5:$Q$215,13,0)*$H239</f>
        <v>103.37684393636449</v>
      </c>
      <c r="U239" s="384">
        <f>VLOOKUP($A239,'8.Non-elective admissions - CCG'!$D$5:$Q$215,14,0)*$H239</f>
        <v>102.08699810451832</v>
      </c>
    </row>
    <row r="240" spans="1:21">
      <c r="A240" s="395" t="s">
        <v>200</v>
      </c>
      <c r="B240" s="395" t="s">
        <v>199</v>
      </c>
      <c r="C240" s="395" t="s">
        <v>672</v>
      </c>
      <c r="D240" s="395" t="s">
        <v>106</v>
      </c>
      <c r="E240" s="537">
        <f>COUNTIF($D$5:D240,D240)</f>
        <v>3</v>
      </c>
      <c r="F240" s="537" t="str">
        <f t="shared" si="6"/>
        <v>Central Bedfordshire3</v>
      </c>
      <c r="G240" s="541" t="str">
        <f t="shared" si="7"/>
        <v>NHS East and North Hertfordshire CCG</v>
      </c>
      <c r="H240" s="546">
        <v>2.3476944081557696E-3</v>
      </c>
      <c r="I240" s="546">
        <v>4.998247846695808E-3</v>
      </c>
      <c r="J240" s="384">
        <f>VLOOKUP($A240,'8.Non-elective admissions - CCG'!$D$5:$N$215,3,0)*$H240</f>
        <v>26.99379030497504</v>
      </c>
      <c r="K240" s="384">
        <f>VLOOKUP($A240,'8.Non-elective admissions - CCG'!$D$5:$N$215,4,0)*$H240</f>
        <v>28.381277700195099</v>
      </c>
      <c r="L240" s="384">
        <f>VLOOKUP($A240,'8.Non-elective admissions - CCG'!$D$5:$N$215,5,0)*$H240</f>
        <v>29.703029651986796</v>
      </c>
      <c r="M240" s="384">
        <f>VLOOKUP($A240,'8.Non-elective admissions - CCG'!$D$5:$N$215,6,0)*$H240</f>
        <v>30.177263922434264</v>
      </c>
      <c r="N240" s="384">
        <f>VLOOKUP($A240,'8.Non-elective admissions - CCG'!$D$5:$N$215,7,0)*$H240</f>
        <v>28.216939091624194</v>
      </c>
      <c r="O240" s="384">
        <f>VLOOKUP($A240,'8.Non-elective admissions - CCG'!$D$5:$N$215,8,0)*$H240</f>
        <v>28.512748587051821</v>
      </c>
      <c r="P240" s="384">
        <f>VLOOKUP($A240,'8.Non-elective admissions - CCG'!$D$5:$N$215,9,0)*$H240</f>
        <v>28.529182447908912</v>
      </c>
      <c r="Q240" s="384">
        <f>VLOOKUP($A240,'8.Non-elective admissions - CCG'!$D$5:$N$215,10,0)*$H240</f>
        <v>27.89765265211501</v>
      </c>
      <c r="R240" s="384">
        <f>VLOOKUP($A240,'8.Non-elective admissions - CCG'!$D$5:$Q$215,11,0)*$H240</f>
        <v>27.916434207380256</v>
      </c>
      <c r="S240" s="384">
        <f>VLOOKUP($A240,'8.Non-elective admissions - CCG'!$D$5:$Q$215,12,0)*$H240</f>
        <v>28.207548313991573</v>
      </c>
      <c r="T240" s="384">
        <f>VLOOKUP($A240,'8.Non-elective admissions - CCG'!$D$5:$Q$215,13,0)*$H240</f>
        <v>28.223982174848661</v>
      </c>
      <c r="U240" s="384">
        <f>VLOOKUP($A240,'8.Non-elective admissions - CCG'!$D$5:$Q$215,14,0)*$H240</f>
        <v>27.871828013625297</v>
      </c>
    </row>
    <row r="241" spans="1:21">
      <c r="A241" s="395" t="s">
        <v>200</v>
      </c>
      <c r="B241" s="395" t="s">
        <v>199</v>
      </c>
      <c r="C241" s="395" t="s">
        <v>691</v>
      </c>
      <c r="D241" s="395" t="s">
        <v>176</v>
      </c>
      <c r="E241" s="537">
        <f>COUNTIF($D$5:D241,D241)</f>
        <v>3</v>
      </c>
      <c r="F241" s="537" t="str">
        <f t="shared" si="6"/>
        <v>Enfield3</v>
      </c>
      <c r="G241" s="541" t="str">
        <f t="shared" si="7"/>
        <v>NHS East and North Hertfordshire CCG</v>
      </c>
      <c r="H241" s="546">
        <v>3.2382589290355225E-3</v>
      </c>
      <c r="I241" s="546">
        <v>5.7173272642176056E-3</v>
      </c>
      <c r="J241" s="384">
        <f>VLOOKUP($A241,'8.Non-elective admissions - CCG'!$D$5:$N$215,3,0)*$H241</f>
        <v>37.233501166050438</v>
      </c>
      <c r="K241" s="384">
        <f>VLOOKUP($A241,'8.Non-elective admissions - CCG'!$D$5:$N$215,4,0)*$H241</f>
        <v>39.14731219311043</v>
      </c>
      <c r="L241" s="384">
        <f>VLOOKUP($A241,'8.Non-elective admissions - CCG'!$D$5:$N$215,5,0)*$H241</f>
        <v>40.970451970157434</v>
      </c>
      <c r="M241" s="384">
        <f>VLOOKUP($A241,'8.Non-elective admissions - CCG'!$D$5:$N$215,6,0)*$H241</f>
        <v>41.624580273822609</v>
      </c>
      <c r="N241" s="384">
        <f>VLOOKUP($A241,'8.Non-elective admissions - CCG'!$D$5:$N$215,7,0)*$H241</f>
        <v>38.920634068077945</v>
      </c>
      <c r="O241" s="384">
        <f>VLOOKUP($A241,'8.Non-elective admissions - CCG'!$D$5:$N$215,8,0)*$H241</f>
        <v>39.328654693136421</v>
      </c>
      <c r="P241" s="384">
        <f>VLOOKUP($A241,'8.Non-elective admissions - CCG'!$D$5:$N$215,9,0)*$H241</f>
        <v>39.351322505639672</v>
      </c>
      <c r="Q241" s="384">
        <f>VLOOKUP($A241,'8.Non-elective admissions - CCG'!$D$5:$N$215,10,0)*$H241</f>
        <v>38.480230853729111</v>
      </c>
      <c r="R241" s="384">
        <f>VLOOKUP($A241,'8.Non-elective admissions - CCG'!$D$5:$Q$215,11,0)*$H241</f>
        <v>38.5061369251614</v>
      </c>
      <c r="S241" s="384">
        <f>VLOOKUP($A241,'8.Non-elective admissions - CCG'!$D$5:$Q$215,12,0)*$H241</f>
        <v>38.907681032361801</v>
      </c>
      <c r="T241" s="384">
        <f>VLOOKUP($A241,'8.Non-elective admissions - CCG'!$D$5:$Q$215,13,0)*$H241</f>
        <v>38.930348844865051</v>
      </c>
      <c r="U241" s="384">
        <f>VLOOKUP($A241,'8.Non-elective admissions - CCG'!$D$5:$Q$215,14,0)*$H241</f>
        <v>38.444610005509723</v>
      </c>
    </row>
    <row r="242" spans="1:21">
      <c r="A242" s="395" t="s">
        <v>200</v>
      </c>
      <c r="B242" s="395" t="s">
        <v>199</v>
      </c>
      <c r="C242" s="395" t="s">
        <v>692</v>
      </c>
      <c r="D242" s="395" t="s">
        <v>180</v>
      </c>
      <c r="E242" s="537">
        <f>COUNTIF($D$5:D242,D242)</f>
        <v>4</v>
      </c>
      <c r="F242" s="537" t="str">
        <f t="shared" si="6"/>
        <v>Essex4</v>
      </c>
      <c r="G242" s="541" t="str">
        <f t="shared" si="7"/>
        <v>NHS East and North Hertfordshire CCG</v>
      </c>
      <c r="H242" s="546">
        <v>1.9483264663993818E-2</v>
      </c>
      <c r="I242" s="546">
        <v>7.6374814581374999E-3</v>
      </c>
      <c r="J242" s="384">
        <f>VLOOKUP($A242,'8.Non-elective admissions - CCG'!$D$5:$N$215,3,0)*$H242</f>
        <v>224.01857710660093</v>
      </c>
      <c r="K242" s="384">
        <f>VLOOKUP($A242,'8.Non-elective admissions - CCG'!$D$5:$N$215,4,0)*$H242</f>
        <v>235.53318652302127</v>
      </c>
      <c r="L242" s="384">
        <f>VLOOKUP($A242,'8.Non-elective admissions - CCG'!$D$5:$N$215,5,0)*$H242</f>
        <v>246.50226452884979</v>
      </c>
      <c r="M242" s="384">
        <f>VLOOKUP($A242,'8.Non-elective admissions - CCG'!$D$5:$N$215,6,0)*$H242</f>
        <v>250.43788399097653</v>
      </c>
      <c r="N242" s="384">
        <f>VLOOKUP($A242,'8.Non-elective admissions - CCG'!$D$5:$N$215,7,0)*$H242</f>
        <v>234.16935799654169</v>
      </c>
      <c r="O242" s="384">
        <f>VLOOKUP($A242,'8.Non-elective admissions - CCG'!$D$5:$N$215,8,0)*$H242</f>
        <v>236.62424934420491</v>
      </c>
      <c r="P242" s="384">
        <f>VLOOKUP($A242,'8.Non-elective admissions - CCG'!$D$5:$N$215,9,0)*$H242</f>
        <v>236.76063219685287</v>
      </c>
      <c r="Q242" s="384">
        <f>VLOOKUP($A242,'8.Non-elective admissions - CCG'!$D$5:$N$215,10,0)*$H242</f>
        <v>231.51963400223855</v>
      </c>
      <c r="R242" s="384">
        <f>VLOOKUP($A242,'8.Non-elective admissions - CCG'!$D$5:$Q$215,11,0)*$H242</f>
        <v>231.67550011955049</v>
      </c>
      <c r="S242" s="384">
        <f>VLOOKUP($A242,'8.Non-elective admissions - CCG'!$D$5:$Q$215,12,0)*$H242</f>
        <v>234.09142493788573</v>
      </c>
      <c r="T242" s="384">
        <f>VLOOKUP($A242,'8.Non-elective admissions - CCG'!$D$5:$Q$215,13,0)*$H242</f>
        <v>234.22780779053369</v>
      </c>
      <c r="U242" s="384">
        <f>VLOOKUP($A242,'8.Non-elective admissions - CCG'!$D$5:$Q$215,14,0)*$H242</f>
        <v>231.30531809093461</v>
      </c>
    </row>
    <row r="243" spans="1:21">
      <c r="A243" s="395" t="s">
        <v>200</v>
      </c>
      <c r="B243" s="395" t="s">
        <v>199</v>
      </c>
      <c r="C243" s="395" t="s">
        <v>705</v>
      </c>
      <c r="D243" s="395" t="s">
        <v>227</v>
      </c>
      <c r="E243" s="537">
        <f>COUNTIF($D$5:D243,D243)</f>
        <v>6</v>
      </c>
      <c r="F243" s="537" t="str">
        <f t="shared" si="6"/>
        <v>Hertfordshire6</v>
      </c>
      <c r="G243" s="541" t="str">
        <f t="shared" si="7"/>
        <v>NHS East and North Hertfordshire CCG</v>
      </c>
      <c r="H243" s="546">
        <v>0.96633180978650712</v>
      </c>
      <c r="I243" s="546">
        <v>0.46807689241188882</v>
      </c>
      <c r="J243" s="384">
        <f>VLOOKUP($A243,'8.Non-elective admissions - CCG'!$D$5:$N$215,3,0)*$H243</f>
        <v>11110.883148925259</v>
      </c>
      <c r="K243" s="384">
        <f>VLOOKUP($A243,'8.Non-elective admissions - CCG'!$D$5:$N$215,4,0)*$H243</f>
        <v>11681.985248509085</v>
      </c>
      <c r="L243" s="384">
        <f>VLOOKUP($A243,'8.Non-elective admissions - CCG'!$D$5:$N$215,5,0)*$H243</f>
        <v>12226.030057418888</v>
      </c>
      <c r="M243" s="384">
        <f>VLOOKUP($A243,'8.Non-elective admissions - CCG'!$D$5:$N$215,6,0)*$H243</f>
        <v>12421.229082995762</v>
      </c>
      <c r="N243" s="384">
        <f>VLOOKUP($A243,'8.Non-elective admissions - CCG'!$D$5:$N$215,7,0)*$H243</f>
        <v>11614.34202182403</v>
      </c>
      <c r="O243" s="384">
        <f>VLOOKUP($A243,'8.Non-elective admissions - CCG'!$D$5:$N$215,8,0)*$H243</f>
        <v>11736.099829857128</v>
      </c>
      <c r="P243" s="384">
        <f>VLOOKUP($A243,'8.Non-elective admissions - CCG'!$D$5:$N$215,9,0)*$H243</f>
        <v>11742.864152525635</v>
      </c>
      <c r="Q243" s="384">
        <f>VLOOKUP($A243,'8.Non-elective admissions - CCG'!$D$5:$N$215,10,0)*$H243</f>
        <v>11482.920895693063</v>
      </c>
      <c r="R243" s="384">
        <f>VLOOKUP($A243,'8.Non-elective admissions - CCG'!$D$5:$Q$215,11,0)*$H243</f>
        <v>11490.651550171357</v>
      </c>
      <c r="S243" s="384">
        <f>VLOOKUP($A243,'8.Non-elective admissions - CCG'!$D$5:$Q$215,12,0)*$H243</f>
        <v>11610.476694584882</v>
      </c>
      <c r="T243" s="384">
        <f>VLOOKUP($A243,'8.Non-elective admissions - CCG'!$D$5:$Q$215,13,0)*$H243</f>
        <v>11617.241017253389</v>
      </c>
      <c r="U243" s="384">
        <f>VLOOKUP($A243,'8.Non-elective admissions - CCG'!$D$5:$Q$215,14,0)*$H243</f>
        <v>11472.291245785413</v>
      </c>
    </row>
    <row r="244" spans="1:21">
      <c r="A244" s="395" t="s">
        <v>204</v>
      </c>
      <c r="B244" s="395" t="s">
        <v>1230</v>
      </c>
      <c r="C244" s="395" t="s">
        <v>657</v>
      </c>
      <c r="D244" s="395" t="s">
        <v>48</v>
      </c>
      <c r="E244" s="537">
        <f>COUNTIF($D$5:D244,D244)</f>
        <v>4</v>
      </c>
      <c r="F244" s="537" t="str">
        <f t="shared" si="6"/>
        <v>Blackburn with Darwen4</v>
      </c>
      <c r="G244" s="541" t="str">
        <f t="shared" si="7"/>
        <v>NHS East Lancashire CCG</v>
      </c>
      <c r="H244" s="546">
        <v>7.0132257076371612E-3</v>
      </c>
      <c r="I244" s="546">
        <v>1.654128667127203E-2</v>
      </c>
      <c r="J244" s="384">
        <f>VLOOKUP($A244,'8.Non-elective admissions - CCG'!$D$5:$N$215,3,0)*$H244</f>
        <v>75.918168285172271</v>
      </c>
      <c r="K244" s="384">
        <f>VLOOKUP($A244,'8.Non-elective admissions - CCG'!$D$5:$N$215,4,0)*$H244</f>
        <v>70.980857386995709</v>
      </c>
      <c r="L244" s="384">
        <f>VLOOKUP($A244,'8.Non-elective admissions - CCG'!$D$5:$N$215,5,0)*$H244</f>
        <v>76.29688247338467</v>
      </c>
      <c r="M244" s="384">
        <f>VLOOKUP($A244,'8.Non-elective admissions - CCG'!$D$5:$N$215,6,0)*$H244</f>
        <v>74.501496692229566</v>
      </c>
      <c r="N244" s="384">
        <f>VLOOKUP($A244,'8.Non-elective admissions - CCG'!$D$5:$N$215,7,0)*$H244</f>
        <v>72.420921178401954</v>
      </c>
      <c r="O244" s="384">
        <f>VLOOKUP($A244,'8.Non-elective admissions - CCG'!$D$5:$N$215,8,0)*$H244</f>
        <v>72.006921167446805</v>
      </c>
      <c r="P244" s="384">
        <f>VLOOKUP($A244,'8.Non-elective admissions - CCG'!$D$5:$N$215,9,0)*$H244</f>
        <v>73.039304312405605</v>
      </c>
      <c r="Q244" s="384">
        <f>VLOOKUP($A244,'8.Non-elective admissions - CCG'!$D$5:$N$215,10,0)*$H244</f>
        <v>73.114398973000419</v>
      </c>
      <c r="R244" s="384">
        <f>VLOOKUP($A244,'8.Non-elective admissions - CCG'!$D$5:$Q$215,11,0)*$H244</f>
        <v>72.636885281036882</v>
      </c>
      <c r="S244" s="384">
        <f>VLOOKUP($A244,'8.Non-elective admissions - CCG'!$D$5:$Q$215,12,0)*$H244</f>
        <v>72.228201840095778</v>
      </c>
      <c r="T244" s="384">
        <f>VLOOKUP($A244,'8.Non-elective admissions - CCG'!$D$5:$Q$215,13,0)*$H244</f>
        <v>73.247494100753997</v>
      </c>
      <c r="U244" s="384">
        <f>VLOOKUP($A244,'8.Non-elective admissions - CCG'!$D$5:$Q$215,14,0)*$H244</f>
        <v>73.346410301074286</v>
      </c>
    </row>
    <row r="245" spans="1:21">
      <c r="A245" s="395" t="s">
        <v>204</v>
      </c>
      <c r="B245" s="395" t="s">
        <v>1230</v>
      </c>
      <c r="C245" s="395" t="s">
        <v>668</v>
      </c>
      <c r="D245" s="395" t="s">
        <v>90</v>
      </c>
      <c r="E245" s="537">
        <f>COUNTIF($D$5:D245,D245)</f>
        <v>3</v>
      </c>
      <c r="F245" s="537" t="str">
        <f t="shared" si="6"/>
        <v>Bury3</v>
      </c>
      <c r="G245" s="541" t="str">
        <f t="shared" si="7"/>
        <v>NHS East Lancashire CCG</v>
      </c>
      <c r="H245" s="546">
        <v>1.0130214911031456E-3</v>
      </c>
      <c r="I245" s="546">
        <v>1.9065053806942311E-3</v>
      </c>
      <c r="J245" s="384">
        <f>VLOOKUP($A245,'8.Non-elective admissions - CCG'!$D$5:$N$215,3,0)*$H245</f>
        <v>10.965957641191551</v>
      </c>
      <c r="K245" s="384">
        <f>VLOOKUP($A245,'8.Non-elective admissions - CCG'!$D$5:$N$215,4,0)*$H245</f>
        <v>10.252790511454936</v>
      </c>
      <c r="L245" s="384">
        <f>VLOOKUP($A245,'8.Non-elective admissions - CCG'!$D$5:$N$215,5,0)*$H245</f>
        <v>11.02066080171112</v>
      </c>
      <c r="M245" s="384">
        <f>VLOOKUP($A245,'8.Non-elective admissions - CCG'!$D$5:$N$215,6,0)*$H245</f>
        <v>10.761327299988716</v>
      </c>
      <c r="N245" s="384">
        <f>VLOOKUP($A245,'8.Non-elective admissions - CCG'!$D$5:$N$215,7,0)*$H245</f>
        <v>10.460799725769172</v>
      </c>
      <c r="O245" s="384">
        <f>VLOOKUP($A245,'8.Non-elective admissions - CCG'!$D$5:$N$215,8,0)*$H245</f>
        <v>10.400999724186761</v>
      </c>
      <c r="P245" s="384">
        <f>VLOOKUP($A245,'8.Non-elective admissions - CCG'!$D$5:$N$215,9,0)*$H245</f>
        <v>10.550121734014144</v>
      </c>
      <c r="Q245" s="384">
        <f>VLOOKUP($A245,'8.Non-elective admissions - CCG'!$D$5:$N$215,10,0)*$H245</f>
        <v>10.560968740544507</v>
      </c>
      <c r="R245" s="384">
        <f>VLOOKUP($A245,'8.Non-elective admissions - CCG'!$D$5:$Q$215,11,0)*$H245</f>
        <v>10.491994540594218</v>
      </c>
      <c r="S245" s="384">
        <f>VLOOKUP($A245,'8.Non-elective admissions - CCG'!$D$5:$Q$215,12,0)*$H245</f>
        <v>10.432962488013835</v>
      </c>
      <c r="T245" s="384">
        <f>VLOOKUP($A245,'8.Non-elective admissions - CCG'!$D$5:$Q$215,13,0)*$H245</f>
        <v>10.580193592331133</v>
      </c>
      <c r="U245" s="384">
        <f>VLOOKUP($A245,'8.Non-elective admissions - CCG'!$D$5:$Q$215,14,0)*$H245</f>
        <v>10.594481487932953</v>
      </c>
    </row>
    <row r="246" spans="1:21">
      <c r="A246" s="395" t="s">
        <v>204</v>
      </c>
      <c r="B246" s="395" t="s">
        <v>1230</v>
      </c>
      <c r="C246" s="395" t="s">
        <v>718</v>
      </c>
      <c r="D246" s="395" t="s">
        <v>270</v>
      </c>
      <c r="E246" s="537">
        <f>COUNTIF($D$5:D246,D246)</f>
        <v>8</v>
      </c>
      <c r="F246" s="537" t="str">
        <f t="shared" si="6"/>
        <v>Lancashire8</v>
      </c>
      <c r="G246" s="541" t="str">
        <f t="shared" si="7"/>
        <v>NHS East Lancashire CCG</v>
      </c>
      <c r="H246" s="547">
        <v>0.98906098013188093</v>
      </c>
      <c r="I246" s="547">
        <v>0.30014147500947924</v>
      </c>
      <c r="J246" s="384">
        <f>VLOOKUP($A246,'8.Non-elective admissions - CCG'!$D$5:$N$215,3,0)*$H246</f>
        <v>10706.585109927611</v>
      </c>
      <c r="K246" s="384">
        <f>VLOOKUP($A246,'8.Non-elective admissions - CCG'!$D$5:$N$215,4,0)*$H246</f>
        <v>10010.286179914767</v>
      </c>
      <c r="L246" s="384">
        <f>VLOOKUP($A246,'8.Non-elective admissions - CCG'!$D$5:$N$215,5,0)*$H246</f>
        <v>10759.994402854732</v>
      </c>
      <c r="M246" s="384">
        <f>VLOOKUP($A246,'8.Non-elective admissions - CCG'!$D$5:$N$215,6,0)*$H246</f>
        <v>10506.794791940971</v>
      </c>
      <c r="N246" s="384">
        <f>VLOOKUP($A246,'8.Non-elective admissions - CCG'!$D$5:$N$215,7,0)*$H246</f>
        <v>10213.375452149321</v>
      </c>
      <c r="O246" s="384">
        <f>VLOOKUP($A246,'8.Non-elective admissions - CCG'!$D$5:$N$215,8,0)*$H246</f>
        <v>10154.989871293994</v>
      </c>
      <c r="P246" s="384">
        <f>VLOOKUP($A246,'8.Non-elective admissions - CCG'!$D$5:$N$215,9,0)*$H246</f>
        <v>10300.584769817317</v>
      </c>
      <c r="Q246" s="384">
        <f>VLOOKUP($A246,'8.Non-elective admissions - CCG'!$D$5:$N$215,10,0)*$H246</f>
        <v>10311.175217309928</v>
      </c>
      <c r="R246" s="384">
        <f>VLOOKUP($A246,'8.Non-elective admissions - CCG'!$D$5:$Q$215,11,0)*$H246</f>
        <v>10243.83243099613</v>
      </c>
      <c r="S246" s="384">
        <f>VLOOKUP($A246,'8.Non-elective admissions - CCG'!$D$5:$Q$215,12,0)*$H246</f>
        <v>10186.196635213782</v>
      </c>
      <c r="T246" s="384">
        <f>VLOOKUP($A246,'8.Non-elective admissions - CCG'!$D$5:$Q$215,13,0)*$H246</f>
        <v>10329.945352907216</v>
      </c>
      <c r="U246" s="384">
        <f>VLOOKUP($A246,'8.Non-elective admissions - CCG'!$D$5:$Q$215,14,0)*$H246</f>
        <v>10343.895303774072</v>
      </c>
    </row>
    <row r="247" spans="1:21">
      <c r="A247" s="395" t="s">
        <v>204</v>
      </c>
      <c r="B247" s="395" t="s">
        <v>1230</v>
      </c>
      <c r="C247" s="395" t="s">
        <v>738</v>
      </c>
      <c r="D247" s="395" t="s">
        <v>330</v>
      </c>
      <c r="E247" s="537">
        <f>COUNTIF($D$5:D247,D247)</f>
        <v>6</v>
      </c>
      <c r="F247" s="537" t="str">
        <f t="shared" si="6"/>
        <v>North Yorkshire6</v>
      </c>
      <c r="G247" s="541" t="str">
        <f t="shared" si="7"/>
        <v>NHS East Lancashire CCG</v>
      </c>
      <c r="H247" s="546">
        <v>1.2011156671700425E-3</v>
      </c>
      <c r="I247" s="546">
        <v>0</v>
      </c>
      <c r="J247" s="384">
        <f>VLOOKUP($A247,'8.Non-elective admissions - CCG'!$D$5:$N$215,3,0)*$H247</f>
        <v>13.002077097115711</v>
      </c>
      <c r="K247" s="384">
        <f>VLOOKUP($A247,'8.Non-elective admissions - CCG'!$D$5:$N$215,4,0)*$H247</f>
        <v>12.156491667428</v>
      </c>
      <c r="L247" s="384">
        <f>VLOOKUP($A247,'8.Non-elective admissions - CCG'!$D$5:$N$215,5,0)*$H247</f>
        <v>13.066937343142893</v>
      </c>
      <c r="M247" s="384">
        <f>VLOOKUP($A247,'8.Non-elective admissions - CCG'!$D$5:$N$215,6,0)*$H247</f>
        <v>12.759451732347362</v>
      </c>
      <c r="N247" s="384">
        <f>VLOOKUP($A247,'8.Non-elective admissions - CCG'!$D$5:$N$215,7,0)*$H247</f>
        <v>12.403123282278036</v>
      </c>
      <c r="O247" s="384">
        <f>VLOOKUP($A247,'8.Non-elective admissions - CCG'!$D$5:$N$215,8,0)*$H247</f>
        <v>12.332219832125947</v>
      </c>
      <c r="P247" s="384">
        <f>VLOOKUP($A247,'8.Non-elective admissions - CCG'!$D$5:$N$215,9,0)*$H247</f>
        <v>12.509030278791306</v>
      </c>
      <c r="Q247" s="384">
        <f>VLOOKUP($A247,'8.Non-elective admissions - CCG'!$D$5:$N$215,10,0)*$H247</f>
        <v>12.521891318364439</v>
      </c>
      <c r="R247" s="384">
        <f>VLOOKUP($A247,'8.Non-elective admissions - CCG'!$D$5:$Q$215,11,0)*$H247</f>
        <v>12.440110237786776</v>
      </c>
      <c r="S247" s="384">
        <f>VLOOKUP($A247,'8.Non-elective admissions - CCG'!$D$5:$Q$215,12,0)*$H247</f>
        <v>12.370117326637091</v>
      </c>
      <c r="T247" s="384">
        <f>VLOOKUP($A247,'8.Non-elective admissions - CCG'!$D$5:$Q$215,13,0)*$H247</f>
        <v>12.544685771278557</v>
      </c>
      <c r="U247" s="384">
        <f>VLOOKUP($A247,'8.Non-elective admissions - CCG'!$D$5:$Q$215,14,0)*$H247</f>
        <v>12.561626591793182</v>
      </c>
    </row>
    <row r="248" spans="1:21" ht="15.05" customHeight="1">
      <c r="A248" s="395" t="s">
        <v>204</v>
      </c>
      <c r="B248" s="395" t="s">
        <v>1230</v>
      </c>
      <c r="C248" s="395" t="s">
        <v>752</v>
      </c>
      <c r="D248" s="395" t="s">
        <v>372</v>
      </c>
      <c r="E248" s="537">
        <f>COUNTIF($D$5:D248,D248)</f>
        <v>2</v>
      </c>
      <c r="F248" s="537" t="str">
        <f t="shared" si="6"/>
        <v>Rochdale2</v>
      </c>
      <c r="G248" s="541" t="str">
        <f t="shared" si="7"/>
        <v>NHS East Lancashire CCG</v>
      </c>
      <c r="H248" s="546">
        <v>1.7116570022087632E-3</v>
      </c>
      <c r="I248" s="546">
        <v>2.8342476785420314E-3</v>
      </c>
      <c r="J248" s="384">
        <f>VLOOKUP($A248,'8.Non-elective admissions - CCG'!$D$5:$N$215,3,0)*$H248</f>
        <v>18.528687048909863</v>
      </c>
      <c r="K248" s="384">
        <f>VLOOKUP($A248,'8.Non-elective admissions - CCG'!$D$5:$N$215,4,0)*$H248</f>
        <v>17.323680519354891</v>
      </c>
      <c r="L248" s="384">
        <f>VLOOKUP($A248,'8.Non-elective admissions - CCG'!$D$5:$N$215,5,0)*$H248</f>
        <v>18.621116527029134</v>
      </c>
      <c r="M248" s="384">
        <f>VLOOKUP($A248,'8.Non-elective admissions - CCG'!$D$5:$N$215,6,0)*$H248</f>
        <v>18.182932334463693</v>
      </c>
      <c r="N248" s="384">
        <f>VLOOKUP($A248,'8.Non-elective admissions - CCG'!$D$5:$N$215,7,0)*$H248</f>
        <v>17.675144364230672</v>
      </c>
      <c r="O248" s="384">
        <f>VLOOKUP($A248,'8.Non-elective admissions - CCG'!$D$5:$N$215,8,0)*$H248</f>
        <v>17.574102982246597</v>
      </c>
      <c r="P248" s="384">
        <f>VLOOKUP($A248,'8.Non-elective admissions - CCG'!$D$5:$N$215,9,0)*$H248</f>
        <v>17.826067757472174</v>
      </c>
      <c r="Q248" s="384">
        <f>VLOOKUP($A248,'8.Non-elective admissions - CCG'!$D$5:$N$215,10,0)*$H248</f>
        <v>17.844395458161408</v>
      </c>
      <c r="R248" s="384">
        <f>VLOOKUP($A248,'8.Non-elective admissions - CCG'!$D$5:$Q$215,11,0)*$H248</f>
        <v>17.727852844452297</v>
      </c>
      <c r="S248" s="384">
        <f>VLOOKUP($A248,'8.Non-elective admissions - CCG'!$D$5:$Q$215,12,0)*$H248</f>
        <v>17.628109031471652</v>
      </c>
      <c r="T248" s="384">
        <f>VLOOKUP($A248,'8.Non-elective admissions - CCG'!$D$5:$Q$215,13,0)*$H248</f>
        <v>17.876878828421571</v>
      </c>
      <c r="U248" s="384">
        <f>VLOOKUP($A248,'8.Non-elective admissions - CCG'!$D$5:$Q$215,14,0)*$H248</f>
        <v>17.901020445128093</v>
      </c>
    </row>
    <row r="249" spans="1:21">
      <c r="A249" s="395" t="s">
        <v>207</v>
      </c>
      <c r="B249" s="395" t="s">
        <v>206</v>
      </c>
      <c r="C249" s="395" t="s">
        <v>720</v>
      </c>
      <c r="D249" s="395" t="s">
        <v>276</v>
      </c>
      <c r="E249" s="537">
        <f>COUNTIF($D$5:D249,D249)</f>
        <v>1</v>
      </c>
      <c r="F249" s="537" t="str">
        <f t="shared" si="6"/>
        <v>Leicester1</v>
      </c>
      <c r="G249" s="541" t="str">
        <f t="shared" si="7"/>
        <v>NHS East Leicestershire and Rutland CCG</v>
      </c>
      <c r="H249" s="546">
        <v>2.6591709058345049E-2</v>
      </c>
      <c r="I249" s="546">
        <v>2.3249934072626134E-2</v>
      </c>
      <c r="J249" s="384">
        <f>VLOOKUP($A249,'8.Non-elective admissions - CCG'!$D$5:$N$215,3,0)*$H249</f>
        <v>175.79778858471911</v>
      </c>
      <c r="K249" s="384">
        <f>VLOOKUP($A249,'8.Non-elective admissions - CCG'!$D$5:$N$215,4,0)*$H249</f>
        <v>173.1918010970013</v>
      </c>
      <c r="L249" s="384">
        <f>VLOOKUP($A249,'8.Non-elective admissions - CCG'!$D$5:$N$215,5,0)*$H249</f>
        <v>183.13710028482237</v>
      </c>
      <c r="M249" s="384">
        <f>VLOOKUP($A249,'8.Non-elective admissions - CCG'!$D$5:$N$215,6,0)*$H249</f>
        <v>186.886531262049</v>
      </c>
      <c r="N249" s="384">
        <f>VLOOKUP($A249,'8.Non-elective admissions - CCG'!$D$5:$N$215,7,0)*$H249</f>
        <v>160.00231340406216</v>
      </c>
      <c r="O249" s="384">
        <f>VLOOKUP($A249,'8.Non-elective admissions - CCG'!$D$5:$N$215,8,0)*$H249</f>
        <v>169.7614706284748</v>
      </c>
      <c r="P249" s="384">
        <f>VLOOKUP($A249,'8.Non-elective admissions - CCG'!$D$5:$N$215,9,0)*$H249</f>
        <v>168.21915150309079</v>
      </c>
      <c r="Q249" s="384">
        <f>VLOOKUP($A249,'8.Non-elective admissions - CCG'!$D$5:$N$215,10,0)*$H249</f>
        <v>165.55998059725627</v>
      </c>
      <c r="R249" s="384">
        <f>VLOOKUP($A249,'8.Non-elective admissions - CCG'!$D$5:$Q$215,11,0)*$H249</f>
        <v>160.69369783957913</v>
      </c>
      <c r="S249" s="384">
        <f>VLOOKUP($A249,'8.Non-elective admissions - CCG'!$D$5:$Q$215,12,0)*$H249</f>
        <v>170.42626335493341</v>
      </c>
      <c r="T249" s="384">
        <f>VLOOKUP($A249,'8.Non-elective admissions - CCG'!$D$5:$Q$215,13,0)*$H249</f>
        <v>168.8839442295494</v>
      </c>
      <c r="U249" s="384">
        <f>VLOOKUP($A249,'8.Non-elective admissions - CCG'!$D$5:$Q$215,14,0)*$H249</f>
        <v>168.56484372084927</v>
      </c>
    </row>
    <row r="250" spans="1:21" ht="54" customHeight="1">
      <c r="A250" s="395" t="s">
        <v>207</v>
      </c>
      <c r="B250" s="395" t="s">
        <v>206</v>
      </c>
      <c r="C250" s="395" t="s">
        <v>721</v>
      </c>
      <c r="D250" s="395" t="s">
        <v>279</v>
      </c>
      <c r="E250" s="537">
        <f>COUNTIF($D$5:D250,D250)</f>
        <v>2</v>
      </c>
      <c r="F250" s="537" t="str">
        <f t="shared" si="6"/>
        <v>Leicestershire2</v>
      </c>
      <c r="G250" s="541" t="str">
        <f t="shared" si="7"/>
        <v>NHS East Leicestershire and Rutland CCG</v>
      </c>
      <c r="H250" s="546">
        <v>0.85320767154637389</v>
      </c>
      <c r="I250" s="546">
        <v>0.40287627185834463</v>
      </c>
      <c r="J250" s="384">
        <f>VLOOKUP($A250,'8.Non-elective admissions - CCG'!$D$5:$N$215,3,0)*$H250</f>
        <v>5640.5559165930781</v>
      </c>
      <c r="K250" s="384">
        <f>VLOOKUP($A250,'8.Non-elective admissions - CCG'!$D$5:$N$215,4,0)*$H250</f>
        <v>5556.9415647815331</v>
      </c>
      <c r="L250" s="384">
        <f>VLOOKUP($A250,'8.Non-elective admissions - CCG'!$D$5:$N$215,5,0)*$H250</f>
        <v>5876.0412339398772</v>
      </c>
      <c r="M250" s="384">
        <f>VLOOKUP($A250,'8.Non-elective admissions - CCG'!$D$5:$N$215,6,0)*$H250</f>
        <v>5996.3435156279156</v>
      </c>
      <c r="N250" s="384">
        <f>VLOOKUP($A250,'8.Non-elective admissions - CCG'!$D$5:$N$215,7,0)*$H250</f>
        <v>5133.7505596945321</v>
      </c>
      <c r="O250" s="384">
        <f>VLOOKUP($A250,'8.Non-elective admissions - CCG'!$D$5:$N$215,8,0)*$H250</f>
        <v>5446.8777751520511</v>
      </c>
      <c r="P250" s="384">
        <f>VLOOKUP($A250,'8.Non-elective admissions - CCG'!$D$5:$N$215,9,0)*$H250</f>
        <v>5397.391730202361</v>
      </c>
      <c r="Q250" s="384">
        <f>VLOOKUP($A250,'8.Non-elective admissions - CCG'!$D$5:$N$215,10,0)*$H250</f>
        <v>5312.070963047724</v>
      </c>
      <c r="R250" s="384">
        <f>VLOOKUP($A250,'8.Non-elective admissions - CCG'!$D$5:$Q$215,11,0)*$H250</f>
        <v>5155.9339591547377</v>
      </c>
      <c r="S250" s="384">
        <f>VLOOKUP($A250,'8.Non-elective admissions - CCG'!$D$5:$Q$215,12,0)*$H250</f>
        <v>5468.2079669407103</v>
      </c>
      <c r="T250" s="384">
        <f>VLOOKUP($A250,'8.Non-elective admissions - CCG'!$D$5:$Q$215,13,0)*$H250</f>
        <v>5418.7219219910203</v>
      </c>
      <c r="U250" s="384">
        <f>VLOOKUP($A250,'8.Non-elective admissions - CCG'!$D$5:$Q$215,14,0)*$H250</f>
        <v>5408.4834299324639</v>
      </c>
    </row>
    <row r="251" spans="1:21">
      <c r="A251" s="395" t="s">
        <v>207</v>
      </c>
      <c r="B251" s="395" t="s">
        <v>206</v>
      </c>
      <c r="C251" s="395" t="s">
        <v>723</v>
      </c>
      <c r="D251" s="395" t="s">
        <v>285</v>
      </c>
      <c r="E251" s="537">
        <f>COUNTIF($D$5:D251,D251)</f>
        <v>2</v>
      </c>
      <c r="F251" s="537" t="str">
        <f t="shared" si="6"/>
        <v>Lincolnshire2</v>
      </c>
      <c r="G251" s="541" t="str">
        <f t="shared" si="7"/>
        <v>NHS East Leicestershire and Rutland CCG</v>
      </c>
      <c r="H251" s="546">
        <v>1.8967425778286342E-3</v>
      </c>
      <c r="I251" s="546">
        <v>0</v>
      </c>
      <c r="J251" s="384">
        <f>VLOOKUP($A251,'8.Non-elective admissions - CCG'!$D$5:$N$215,3,0)*$H251</f>
        <v>12.539365182025101</v>
      </c>
      <c r="K251" s="384">
        <f>VLOOKUP($A251,'8.Non-elective admissions - CCG'!$D$5:$N$215,4,0)*$H251</f>
        <v>12.353484409397895</v>
      </c>
      <c r="L251" s="384">
        <f>VLOOKUP($A251,'8.Non-elective admissions - CCG'!$D$5:$N$215,5,0)*$H251</f>
        <v>13.062866133505803</v>
      </c>
      <c r="M251" s="384">
        <f>VLOOKUP($A251,'8.Non-elective admissions - CCG'!$D$5:$N$215,6,0)*$H251</f>
        <v>13.330306836979641</v>
      </c>
      <c r="N251" s="384">
        <f>VLOOKUP($A251,'8.Non-elective admissions - CCG'!$D$5:$N$215,7,0)*$H251</f>
        <v>11.412700090794893</v>
      </c>
      <c r="O251" s="384">
        <f>VLOOKUP($A251,'8.Non-elective admissions - CCG'!$D$5:$N$215,8,0)*$H251</f>
        <v>12.108804616858</v>
      </c>
      <c r="P251" s="384">
        <f>VLOOKUP($A251,'8.Non-elective admissions - CCG'!$D$5:$N$215,9,0)*$H251</f>
        <v>11.99879354734394</v>
      </c>
      <c r="Q251" s="384">
        <f>VLOOKUP($A251,'8.Non-elective admissions - CCG'!$D$5:$N$215,10,0)*$H251</f>
        <v>11.809119289561076</v>
      </c>
      <c r="R251" s="384">
        <f>VLOOKUP($A251,'8.Non-elective admissions - CCG'!$D$5:$Q$215,11,0)*$H251</f>
        <v>11.462015397818437</v>
      </c>
      <c r="S251" s="384">
        <f>VLOOKUP($A251,'8.Non-elective admissions - CCG'!$D$5:$Q$215,12,0)*$H251</f>
        <v>12.156223181303716</v>
      </c>
      <c r="T251" s="384">
        <f>VLOOKUP($A251,'8.Non-elective admissions - CCG'!$D$5:$Q$215,13,0)*$H251</f>
        <v>12.046212111789655</v>
      </c>
      <c r="U251" s="384">
        <f>VLOOKUP($A251,'8.Non-elective admissions - CCG'!$D$5:$Q$215,14,0)*$H251</f>
        <v>12.023451200855712</v>
      </c>
    </row>
    <row r="252" spans="1:21">
      <c r="A252" s="395" t="s">
        <v>207</v>
      </c>
      <c r="B252" s="395" t="s">
        <v>206</v>
      </c>
      <c r="C252" s="395" t="s">
        <v>739</v>
      </c>
      <c r="D252" s="395" t="s">
        <v>333</v>
      </c>
      <c r="E252" s="537">
        <f>COUNTIF($D$5:D252,D252)</f>
        <v>6</v>
      </c>
      <c r="F252" s="537" t="str">
        <f t="shared" si="6"/>
        <v>Northamptonshire6</v>
      </c>
      <c r="G252" s="541" t="str">
        <f t="shared" si="7"/>
        <v>NHS East Leicestershire and Rutland CCG</v>
      </c>
      <c r="H252" s="546">
        <v>1.863782788771284E-2</v>
      </c>
      <c r="I252" s="546">
        <v>7.9723985294821824E-3</v>
      </c>
      <c r="J252" s="384">
        <f>VLOOKUP($A252,'8.Non-elective admissions - CCG'!$D$5:$N$215,3,0)*$H252</f>
        <v>123.21468016566959</v>
      </c>
      <c r="K252" s="384">
        <f>VLOOKUP($A252,'8.Non-elective admissions - CCG'!$D$5:$N$215,4,0)*$H252</f>
        <v>121.38817303267372</v>
      </c>
      <c r="L252" s="384">
        <f>VLOOKUP($A252,'8.Non-elective admissions - CCG'!$D$5:$N$215,5,0)*$H252</f>
        <v>128.35872066267834</v>
      </c>
      <c r="M252" s="384">
        <f>VLOOKUP($A252,'8.Non-elective admissions - CCG'!$D$5:$N$215,6,0)*$H252</f>
        <v>130.98665439484583</v>
      </c>
      <c r="N252" s="384">
        <f>VLOOKUP($A252,'8.Non-elective admissions - CCG'!$D$5:$N$215,7,0)*$H252</f>
        <v>112.14381040036815</v>
      </c>
      <c r="O252" s="384">
        <f>VLOOKUP($A252,'8.Non-elective admissions - CCG'!$D$5:$N$215,8,0)*$H252</f>
        <v>118.98389323515877</v>
      </c>
      <c r="P252" s="384">
        <f>VLOOKUP($A252,'8.Non-elective admissions - CCG'!$D$5:$N$215,9,0)*$H252</f>
        <v>117.90289921767142</v>
      </c>
      <c r="Q252" s="384">
        <f>VLOOKUP($A252,'8.Non-elective admissions - CCG'!$D$5:$N$215,10,0)*$H252</f>
        <v>116.03911642890014</v>
      </c>
      <c r="R252" s="384">
        <f>VLOOKUP($A252,'8.Non-elective admissions - CCG'!$D$5:$Q$215,11,0)*$H252</f>
        <v>112.62839392544869</v>
      </c>
      <c r="S252" s="384">
        <f>VLOOKUP($A252,'8.Non-elective admissions - CCG'!$D$5:$Q$215,12,0)*$H252</f>
        <v>119.4498389323516</v>
      </c>
      <c r="T252" s="384">
        <f>VLOOKUP($A252,'8.Non-elective admissions - CCG'!$D$5:$Q$215,13,0)*$H252</f>
        <v>118.36884491486424</v>
      </c>
      <c r="U252" s="384">
        <f>VLOOKUP($A252,'8.Non-elective admissions - CCG'!$D$5:$Q$215,14,0)*$H252</f>
        <v>118.14519098021169</v>
      </c>
    </row>
    <row r="253" spans="1:21">
      <c r="A253" s="395" t="s">
        <v>207</v>
      </c>
      <c r="B253" s="395" t="s">
        <v>206</v>
      </c>
      <c r="C253" s="395" t="s">
        <v>742</v>
      </c>
      <c r="D253" s="395" t="s">
        <v>342</v>
      </c>
      <c r="E253" s="537">
        <f>COUNTIF($D$5:D253,D253)</f>
        <v>3</v>
      </c>
      <c r="F253" s="537" t="str">
        <f t="shared" si="6"/>
        <v>Nottinghamshire3</v>
      </c>
      <c r="G253" s="541" t="str">
        <f t="shared" si="7"/>
        <v>NHS East Leicestershire and Rutland CCG</v>
      </c>
      <c r="H253" s="546">
        <v>2.5435007027275781E-3</v>
      </c>
      <c r="I253" s="546">
        <v>9.9937569562290546E-4</v>
      </c>
      <c r="J253" s="384">
        <f>VLOOKUP($A253,'8.Non-elective admissions - CCG'!$D$5:$N$215,3,0)*$H253</f>
        <v>16.815083145732018</v>
      </c>
      <c r="K253" s="384">
        <f>VLOOKUP($A253,'8.Non-elective admissions - CCG'!$D$5:$N$215,4,0)*$H253</f>
        <v>16.565820076864718</v>
      </c>
      <c r="L253" s="384">
        <f>VLOOKUP($A253,'8.Non-elective admissions - CCG'!$D$5:$N$215,5,0)*$H253</f>
        <v>17.51708933968483</v>
      </c>
      <c r="M253" s="384">
        <f>VLOOKUP($A253,'8.Non-elective admissions - CCG'!$D$5:$N$215,6,0)*$H253</f>
        <v>17.875722938769417</v>
      </c>
      <c r="N253" s="384">
        <f>VLOOKUP($A253,'8.Non-elective admissions - CCG'!$D$5:$N$215,7,0)*$H253</f>
        <v>15.304243728311837</v>
      </c>
      <c r="O253" s="384">
        <f>VLOOKUP($A253,'8.Non-elective admissions - CCG'!$D$5:$N$215,8,0)*$H253</f>
        <v>16.23770848621286</v>
      </c>
      <c r="P253" s="384">
        <f>VLOOKUP($A253,'8.Non-elective admissions - CCG'!$D$5:$N$215,9,0)*$H253</f>
        <v>16.090185445454658</v>
      </c>
      <c r="Q253" s="384">
        <f>VLOOKUP($A253,'8.Non-elective admissions - CCG'!$D$5:$N$215,10,0)*$H253</f>
        <v>15.835835375181901</v>
      </c>
      <c r="R253" s="384">
        <f>VLOOKUP($A253,'8.Non-elective admissions - CCG'!$D$5:$Q$215,11,0)*$H253</f>
        <v>15.370374746582755</v>
      </c>
      <c r="S253" s="384">
        <f>VLOOKUP($A253,'8.Non-elective admissions - CCG'!$D$5:$Q$215,12,0)*$H253</f>
        <v>16.301296003781047</v>
      </c>
      <c r="T253" s="384">
        <f>VLOOKUP($A253,'8.Non-elective admissions - CCG'!$D$5:$Q$215,13,0)*$H253</f>
        <v>16.153772963022849</v>
      </c>
      <c r="U253" s="384">
        <f>VLOOKUP($A253,'8.Non-elective admissions - CCG'!$D$5:$Q$215,14,0)*$H253</f>
        <v>16.123250954590119</v>
      </c>
    </row>
    <row r="254" spans="1:21">
      <c r="A254" s="395" t="s">
        <v>207</v>
      </c>
      <c r="B254" s="395" t="s">
        <v>206</v>
      </c>
      <c r="C254" s="395" t="s">
        <v>754</v>
      </c>
      <c r="D254" s="395" t="s">
        <v>378</v>
      </c>
      <c r="E254" s="537">
        <f>COUNTIF($D$5:D254,D254)</f>
        <v>3</v>
      </c>
      <c r="F254" s="537" t="str">
        <f t="shared" si="6"/>
        <v>Rutland3</v>
      </c>
      <c r="G254" s="541" t="str">
        <f t="shared" si="7"/>
        <v>NHS East Leicestershire and Rutland CCG</v>
      </c>
      <c r="H254" s="546">
        <v>9.712254822701212E-2</v>
      </c>
      <c r="I254" s="546">
        <v>0.85390524617950203</v>
      </c>
      <c r="J254" s="384">
        <f>VLOOKUP($A254,'8.Non-elective admissions - CCG'!$D$5:$N$215,3,0)*$H254</f>
        <v>642.07716632877714</v>
      </c>
      <c r="K254" s="384">
        <f>VLOOKUP($A254,'8.Non-elective admissions - CCG'!$D$5:$N$215,4,0)*$H254</f>
        <v>632.55915660252992</v>
      </c>
      <c r="L254" s="384">
        <f>VLOOKUP($A254,'8.Non-elective admissions - CCG'!$D$5:$N$215,5,0)*$H254</f>
        <v>668.88298963943248</v>
      </c>
      <c r="M254" s="384">
        <f>VLOOKUP($A254,'8.Non-elective admissions - CCG'!$D$5:$N$215,6,0)*$H254</f>
        <v>682.57726893944118</v>
      </c>
      <c r="N254" s="384">
        <f>VLOOKUP($A254,'8.Non-elective admissions - CCG'!$D$5:$N$215,7,0)*$H254</f>
        <v>584.3863726819319</v>
      </c>
      <c r="O254" s="384">
        <f>VLOOKUP($A254,'8.Non-elective admissions - CCG'!$D$5:$N$215,8,0)*$H254</f>
        <v>620.03034788124535</v>
      </c>
      <c r="P254" s="384">
        <f>VLOOKUP($A254,'8.Non-elective admissions - CCG'!$D$5:$N$215,9,0)*$H254</f>
        <v>614.3972400840787</v>
      </c>
      <c r="Q254" s="384">
        <f>VLOOKUP($A254,'8.Non-elective admissions - CCG'!$D$5:$N$215,10,0)*$H254</f>
        <v>604.68498526137751</v>
      </c>
      <c r="R254" s="384">
        <f>VLOOKUP($A254,'8.Non-elective admissions - CCG'!$D$5:$Q$215,11,0)*$H254</f>
        <v>586.91155893583425</v>
      </c>
      <c r="S254" s="384">
        <f>VLOOKUP($A254,'8.Non-elective admissions - CCG'!$D$5:$Q$215,12,0)*$H254</f>
        <v>622.45841158692065</v>
      </c>
      <c r="T254" s="384">
        <f>VLOOKUP($A254,'8.Non-elective admissions - CCG'!$D$5:$Q$215,13,0)*$H254</f>
        <v>616.825303789754</v>
      </c>
      <c r="U254" s="384">
        <f>VLOOKUP($A254,'8.Non-elective admissions - CCG'!$D$5:$Q$215,14,0)*$H254</f>
        <v>615.65983321102988</v>
      </c>
    </row>
    <row r="255" spans="1:21">
      <c r="A255" s="395" t="s">
        <v>211</v>
      </c>
      <c r="B255" s="395" t="s">
        <v>210</v>
      </c>
      <c r="C255" s="395" t="s">
        <v>689</v>
      </c>
      <c r="D255" s="395" t="s">
        <v>169</v>
      </c>
      <c r="E255" s="537">
        <f>COUNTIF($D$5:D255,D255)</f>
        <v>1</v>
      </c>
      <c r="F255" s="537" t="str">
        <f t="shared" si="6"/>
        <v>East Riding of Yorkshire1</v>
      </c>
      <c r="G255" s="541" t="str">
        <f t="shared" si="7"/>
        <v>NHS East Riding of Yorkshire CCG</v>
      </c>
      <c r="H255" s="546">
        <v>0.97340761263146702</v>
      </c>
      <c r="I255" s="546">
        <v>0.85368632043864112</v>
      </c>
      <c r="J255" s="384">
        <f>VLOOKUP($A255,'8.Non-elective admissions - CCG'!$D$5:$N$215,3,0)*$H255</f>
        <v>7006.5879957212992</v>
      </c>
      <c r="K255" s="384">
        <f>VLOOKUP($A255,'8.Non-elective admissions - CCG'!$D$5:$N$215,4,0)*$H255</f>
        <v>6798.2787666181657</v>
      </c>
      <c r="L255" s="384">
        <f>VLOOKUP($A255,'8.Non-elective admissions - CCG'!$D$5:$N$215,5,0)*$H255</f>
        <v>6981.2793977928814</v>
      </c>
      <c r="M255" s="384">
        <f>VLOOKUP($A255,'8.Non-elective admissions - CCG'!$D$5:$N$215,6,0)*$H255</f>
        <v>6950.1303541886746</v>
      </c>
      <c r="N255" s="384">
        <f>VLOOKUP($A255,'8.Non-elective admissions - CCG'!$D$5:$N$215,7,0)*$H255</f>
        <v>6881.9918213044721</v>
      </c>
      <c r="O255" s="384">
        <f>VLOOKUP($A255,'8.Non-elective admissions - CCG'!$D$5:$N$215,8,0)*$H255</f>
        <v>6959.8644303149895</v>
      </c>
      <c r="P255" s="384">
        <f>VLOOKUP($A255,'8.Non-elective admissions - CCG'!$D$5:$N$215,9,0)*$H255</f>
        <v>6959.8644303149895</v>
      </c>
      <c r="Q255" s="384">
        <f>VLOOKUP($A255,'8.Non-elective admissions - CCG'!$D$5:$N$215,10,0)*$H255</f>
        <v>6804.1192122939547</v>
      </c>
      <c r="R255" s="384">
        <f>VLOOKUP($A255,'8.Non-elective admissions - CCG'!$D$5:$Q$215,11,0)*$H255</f>
        <v>6989.0666586939333</v>
      </c>
      <c r="S255" s="384">
        <f>VLOOKUP($A255,'8.Non-elective admissions - CCG'!$D$5:$Q$215,12,0)*$H255</f>
        <v>7071.8063057676081</v>
      </c>
      <c r="T255" s="384">
        <f>VLOOKUP($A255,'8.Non-elective admissions - CCG'!$D$5:$Q$215,13,0)*$H255</f>
        <v>7071.8063057676081</v>
      </c>
      <c r="U255" s="384">
        <f>VLOOKUP($A255,'8.Non-elective admissions - CCG'!$D$5:$Q$215,14,0)*$H255</f>
        <v>6911.1940496834159</v>
      </c>
    </row>
    <row r="256" spans="1:21">
      <c r="A256" s="395" t="s">
        <v>211</v>
      </c>
      <c r="B256" s="395" t="s">
        <v>210</v>
      </c>
      <c r="C256" s="395" t="s">
        <v>713</v>
      </c>
      <c r="D256" s="395" t="s">
        <v>255</v>
      </c>
      <c r="E256" s="537">
        <f>COUNTIF($D$5:D256,D256)</f>
        <v>1</v>
      </c>
      <c r="F256" s="537" t="str">
        <f t="shared" si="6"/>
        <v>Kingston upon Hull, City of1</v>
      </c>
      <c r="G256" s="541" t="str">
        <f t="shared" si="7"/>
        <v>NHS East Riding of Yorkshire CCG</v>
      </c>
      <c r="H256" s="546">
        <v>1.3141721977503604E-2</v>
      </c>
      <c r="I256" s="546">
        <v>1.4897831604793214E-2</v>
      </c>
      <c r="J256" s="384">
        <f>VLOOKUP($A256,'8.Non-elective admissions - CCG'!$D$5:$N$215,3,0)*$H256</f>
        <v>94.594114794070947</v>
      </c>
      <c r="K256" s="384">
        <f>VLOOKUP($A256,'8.Non-elective admissions - CCG'!$D$5:$N$215,4,0)*$H256</f>
        <v>91.781786290885179</v>
      </c>
      <c r="L256" s="384">
        <f>VLOOKUP($A256,'8.Non-elective admissions - CCG'!$D$5:$N$215,5,0)*$H256</f>
        <v>94.252430022655844</v>
      </c>
      <c r="M256" s="384">
        <f>VLOOKUP($A256,'8.Non-elective admissions - CCG'!$D$5:$N$215,6,0)*$H256</f>
        <v>93.831894919375742</v>
      </c>
      <c r="N256" s="384">
        <f>VLOOKUP($A256,'8.Non-elective admissions - CCG'!$D$5:$N$215,7,0)*$H256</f>
        <v>92.911974380950483</v>
      </c>
      <c r="O256" s="384">
        <f>VLOOKUP($A256,'8.Non-elective admissions - CCG'!$D$5:$N$215,8,0)*$H256</f>
        <v>93.963312139150773</v>
      </c>
      <c r="P256" s="384">
        <f>VLOOKUP($A256,'8.Non-elective admissions - CCG'!$D$5:$N$215,9,0)*$H256</f>
        <v>93.963312139150773</v>
      </c>
      <c r="Q256" s="384">
        <f>VLOOKUP($A256,'8.Non-elective admissions - CCG'!$D$5:$N$215,10,0)*$H256</f>
        <v>91.860636622750192</v>
      </c>
      <c r="R256" s="384">
        <f>VLOOKUP($A256,'8.Non-elective admissions - CCG'!$D$5:$Q$215,11,0)*$H256</f>
        <v>94.35756379847588</v>
      </c>
      <c r="S256" s="384">
        <f>VLOOKUP($A256,'8.Non-elective admissions - CCG'!$D$5:$Q$215,12,0)*$H256</f>
        <v>95.474610166563693</v>
      </c>
      <c r="T256" s="384">
        <f>VLOOKUP($A256,'8.Non-elective admissions - CCG'!$D$5:$Q$215,13,0)*$H256</f>
        <v>95.474610166563693</v>
      </c>
      <c r="U256" s="384">
        <f>VLOOKUP($A256,'8.Non-elective admissions - CCG'!$D$5:$Q$215,14,0)*$H256</f>
        <v>93.30622604027559</v>
      </c>
    </row>
    <row r="257" spans="1:21">
      <c r="A257" s="395" t="s">
        <v>211</v>
      </c>
      <c r="B257" s="395" t="s">
        <v>210</v>
      </c>
      <c r="C257" s="395" t="s">
        <v>735</v>
      </c>
      <c r="D257" s="395" t="s">
        <v>321</v>
      </c>
      <c r="E257" s="537">
        <f>COUNTIF($D$5:D257,D257)</f>
        <v>3</v>
      </c>
      <c r="F257" s="537" t="str">
        <f t="shared" si="6"/>
        <v>North Lincolnshire3</v>
      </c>
      <c r="G257" s="541" t="str">
        <f t="shared" si="7"/>
        <v>NHS East Riding of Yorkshire CCG</v>
      </c>
      <c r="H257" s="546">
        <v>0</v>
      </c>
      <c r="I257" s="546">
        <v>1.1776216729258333E-3</v>
      </c>
      <c r="J257" s="384">
        <f>VLOOKUP($A257,'8.Non-elective admissions - CCG'!$D$5:$N$215,3,0)*$H257</f>
        <v>0</v>
      </c>
      <c r="K257" s="384">
        <f>VLOOKUP($A257,'8.Non-elective admissions - CCG'!$D$5:$N$215,4,0)*$H257</f>
        <v>0</v>
      </c>
      <c r="L257" s="384">
        <f>VLOOKUP($A257,'8.Non-elective admissions - CCG'!$D$5:$N$215,5,0)*$H257</f>
        <v>0</v>
      </c>
      <c r="M257" s="384">
        <f>VLOOKUP($A257,'8.Non-elective admissions - CCG'!$D$5:$N$215,6,0)*$H257</f>
        <v>0</v>
      </c>
      <c r="N257" s="384">
        <f>VLOOKUP($A257,'8.Non-elective admissions - CCG'!$D$5:$N$215,7,0)*$H257</f>
        <v>0</v>
      </c>
      <c r="O257" s="384">
        <f>VLOOKUP($A257,'8.Non-elective admissions - CCG'!$D$5:$N$215,8,0)*$H257</f>
        <v>0</v>
      </c>
      <c r="P257" s="384">
        <f>VLOOKUP($A257,'8.Non-elective admissions - CCG'!$D$5:$N$215,9,0)*$H257</f>
        <v>0</v>
      </c>
      <c r="Q257" s="384">
        <f>VLOOKUP($A257,'8.Non-elective admissions - CCG'!$D$5:$N$215,10,0)*$H257</f>
        <v>0</v>
      </c>
      <c r="R257" s="384">
        <f>VLOOKUP($A257,'8.Non-elective admissions - CCG'!$D$5:$Q$215,11,0)*$H257</f>
        <v>0</v>
      </c>
      <c r="S257" s="384">
        <f>VLOOKUP($A257,'8.Non-elective admissions - CCG'!$D$5:$Q$215,12,0)*$H257</f>
        <v>0</v>
      </c>
      <c r="T257" s="384">
        <f>VLOOKUP($A257,'8.Non-elective admissions - CCG'!$D$5:$Q$215,13,0)*$H257</f>
        <v>0</v>
      </c>
      <c r="U257" s="384">
        <f>VLOOKUP($A257,'8.Non-elective admissions - CCG'!$D$5:$Q$215,14,0)*$H257</f>
        <v>0</v>
      </c>
    </row>
    <row r="258" spans="1:21">
      <c r="A258" s="395" t="s">
        <v>211</v>
      </c>
      <c r="B258" s="395" t="s">
        <v>210</v>
      </c>
      <c r="C258" s="395" t="s">
        <v>738</v>
      </c>
      <c r="D258" s="395" t="s">
        <v>330</v>
      </c>
      <c r="E258" s="537">
        <f>COUNTIF($D$5:D258,D258)</f>
        <v>7</v>
      </c>
      <c r="F258" s="537" t="str">
        <f t="shared" si="6"/>
        <v>North Yorkshire7</v>
      </c>
      <c r="G258" s="541" t="str">
        <f t="shared" si="7"/>
        <v>NHS East Riding of Yorkshire CCG</v>
      </c>
      <c r="H258" s="546">
        <v>1.3450665391029347E-2</v>
      </c>
      <c r="I258" s="546">
        <v>6.6384014060491591E-3</v>
      </c>
      <c r="J258" s="384">
        <f>VLOOKUP($A258,'8.Non-elective admissions - CCG'!$D$5:$N$215,3,0)*$H258</f>
        <v>96.817889484629234</v>
      </c>
      <c r="K258" s="384">
        <f>VLOOKUP($A258,'8.Non-elective admissions - CCG'!$D$5:$N$215,4,0)*$H258</f>
        <v>93.93944709094896</v>
      </c>
      <c r="L258" s="384">
        <f>VLOOKUP($A258,'8.Non-elective admissions - CCG'!$D$5:$N$215,5,0)*$H258</f>
        <v>96.468172184462475</v>
      </c>
      <c r="M258" s="384">
        <f>VLOOKUP($A258,'8.Non-elective admissions - CCG'!$D$5:$N$215,6,0)*$H258</f>
        <v>96.037750891949528</v>
      </c>
      <c r="N258" s="384">
        <f>VLOOKUP($A258,'8.Non-elective admissions - CCG'!$D$5:$N$215,7,0)*$H258</f>
        <v>95.096204314577477</v>
      </c>
      <c r="O258" s="384">
        <f>VLOOKUP($A258,'8.Non-elective admissions - CCG'!$D$5:$N$215,8,0)*$H258</f>
        <v>96.172257545859821</v>
      </c>
      <c r="P258" s="384">
        <f>VLOOKUP($A258,'8.Non-elective admissions - CCG'!$D$5:$N$215,9,0)*$H258</f>
        <v>96.172257545859821</v>
      </c>
      <c r="Q258" s="384">
        <f>VLOOKUP($A258,'8.Non-elective admissions - CCG'!$D$5:$N$215,10,0)*$H258</f>
        <v>94.020151083295133</v>
      </c>
      <c r="R258" s="384">
        <f>VLOOKUP($A258,'8.Non-elective admissions - CCG'!$D$5:$Q$215,11,0)*$H258</f>
        <v>96.575777507590715</v>
      </c>
      <c r="S258" s="384">
        <f>VLOOKUP($A258,'8.Non-elective admissions - CCG'!$D$5:$Q$215,12,0)*$H258</f>
        <v>97.719084065828199</v>
      </c>
      <c r="T258" s="384">
        <f>VLOOKUP($A258,'8.Non-elective admissions - CCG'!$D$5:$Q$215,13,0)*$H258</f>
        <v>97.719084065828199</v>
      </c>
      <c r="U258" s="384">
        <f>VLOOKUP($A258,'8.Non-elective admissions - CCG'!$D$5:$Q$215,14,0)*$H258</f>
        <v>95.499724276308356</v>
      </c>
    </row>
    <row r="259" spans="1:21">
      <c r="A259" s="395" t="s">
        <v>214</v>
      </c>
      <c r="B259" s="395" t="s">
        <v>213</v>
      </c>
      <c r="C259" s="395" t="s">
        <v>683</v>
      </c>
      <c r="D259" s="395" t="s">
        <v>146</v>
      </c>
      <c r="E259" s="537">
        <f>COUNTIF($D$5:D259,D259)</f>
        <v>2</v>
      </c>
      <c r="F259" s="537" t="str">
        <f t="shared" si="6"/>
        <v>Derbyshire2</v>
      </c>
      <c r="G259" s="541" t="str">
        <f t="shared" si="7"/>
        <v>NHS East Staffordshire CCG</v>
      </c>
      <c r="H259" s="546">
        <v>8.2663563031607309E-2</v>
      </c>
      <c r="I259" s="546">
        <v>1.4308702042471238E-2</v>
      </c>
      <c r="J259" s="384">
        <f>VLOOKUP($A259,'8.Non-elective admissions - CCG'!$D$5:$N$215,3,0)*$H259</f>
        <v>262.87013044051122</v>
      </c>
      <c r="K259" s="384">
        <f>VLOOKUP($A259,'8.Non-elective admissions - CCG'!$D$5:$N$215,4,0)*$H259</f>
        <v>267.66461709634444</v>
      </c>
      <c r="L259" s="384">
        <f>VLOOKUP($A259,'8.Non-elective admissions - CCG'!$D$5:$N$215,5,0)*$H259</f>
        <v>301.06069656111384</v>
      </c>
      <c r="M259" s="384">
        <f>VLOOKUP($A259,'8.Non-elective admissions - CCG'!$D$5:$N$215,6,0)*$H259</f>
        <v>300.5647151829242</v>
      </c>
      <c r="N259" s="384">
        <f>VLOOKUP($A259,'8.Non-elective admissions - CCG'!$D$5:$N$215,7,0)*$H259</f>
        <v>259.06760654105733</v>
      </c>
      <c r="O259" s="384">
        <f>VLOOKUP($A259,'8.Non-elective admissions - CCG'!$D$5:$N$215,8,0)*$H259</f>
        <v>263.61410250779574</v>
      </c>
      <c r="P259" s="384">
        <f>VLOOKUP($A259,'8.Non-elective admissions - CCG'!$D$5:$N$215,9,0)*$H259</f>
        <v>296.59686415740703</v>
      </c>
      <c r="Q259" s="384">
        <f>VLOOKUP($A259,'8.Non-elective admissions - CCG'!$D$5:$N$215,10,0)*$H259</f>
        <v>282.46139487900217</v>
      </c>
      <c r="R259" s="384">
        <f>VLOOKUP($A259,'8.Non-elective admissions - CCG'!$D$5:$Q$215,11,0)*$H259</f>
        <v>252.70251218762354</v>
      </c>
      <c r="S259" s="384">
        <f>VLOOKUP($A259,'8.Non-elective admissions - CCG'!$D$5:$Q$215,12,0)*$H259</f>
        <v>257.00101746526713</v>
      </c>
      <c r="T259" s="384">
        <f>VLOOKUP($A259,'8.Non-elective admissions - CCG'!$D$5:$Q$215,13,0)*$H259</f>
        <v>289.07447992153078</v>
      </c>
      <c r="U259" s="384">
        <f>VLOOKUP($A259,'8.Non-elective admissions - CCG'!$D$5:$Q$215,14,0)*$H259</f>
        <v>275.68298271041039</v>
      </c>
    </row>
    <row r="260" spans="1:21">
      <c r="A260" s="395" t="s">
        <v>214</v>
      </c>
      <c r="B260" s="395" t="s">
        <v>213</v>
      </c>
      <c r="C260" s="395" t="s">
        <v>769</v>
      </c>
      <c r="D260" s="395" t="s">
        <v>423</v>
      </c>
      <c r="E260" s="537">
        <f>COUNTIF($D$5:D260,D260)</f>
        <v>4</v>
      </c>
      <c r="F260" s="537" t="str">
        <f t="shared" si="6"/>
        <v>Staffordshire4</v>
      </c>
      <c r="G260" s="541" t="str">
        <f t="shared" si="7"/>
        <v>NHS East Staffordshire CCG</v>
      </c>
      <c r="H260" s="546">
        <v>0.91733643696839273</v>
      </c>
      <c r="I260" s="546">
        <v>0.14410145434140689</v>
      </c>
      <c r="J260" s="384">
        <f>VLOOKUP($A260,'8.Non-elective admissions - CCG'!$D$5:$N$215,3,0)*$H260</f>
        <v>2917.1298695594887</v>
      </c>
      <c r="K260" s="384">
        <f>VLOOKUP($A260,'8.Non-elective admissions - CCG'!$D$5:$N$215,4,0)*$H260</f>
        <v>2970.3353829036555</v>
      </c>
      <c r="L260" s="384">
        <f>VLOOKUP($A260,'8.Non-elective admissions - CCG'!$D$5:$N$215,5,0)*$H260</f>
        <v>3340.9393034388863</v>
      </c>
      <c r="M260" s="384">
        <f>VLOOKUP($A260,'8.Non-elective admissions - CCG'!$D$5:$N$215,6,0)*$H260</f>
        <v>3335.4352848170761</v>
      </c>
      <c r="N260" s="384">
        <f>VLOOKUP($A260,'8.Non-elective admissions - CCG'!$D$5:$N$215,7,0)*$H260</f>
        <v>2874.9323934589429</v>
      </c>
      <c r="O260" s="384">
        <f>VLOOKUP($A260,'8.Non-elective admissions - CCG'!$D$5:$N$215,8,0)*$H260</f>
        <v>2925.3858974922045</v>
      </c>
      <c r="P260" s="384">
        <f>VLOOKUP($A260,'8.Non-elective admissions - CCG'!$D$5:$N$215,9,0)*$H260</f>
        <v>3291.4031358425932</v>
      </c>
      <c r="Q260" s="384">
        <f>VLOOKUP($A260,'8.Non-elective admissions - CCG'!$D$5:$N$215,10,0)*$H260</f>
        <v>3134.538605120998</v>
      </c>
      <c r="R260" s="384">
        <f>VLOOKUP($A260,'8.Non-elective admissions - CCG'!$D$5:$Q$215,11,0)*$H260</f>
        <v>2804.2974878123764</v>
      </c>
      <c r="S260" s="384">
        <f>VLOOKUP($A260,'8.Non-elective admissions - CCG'!$D$5:$Q$215,12,0)*$H260</f>
        <v>2851.9989825347329</v>
      </c>
      <c r="T260" s="384">
        <f>VLOOKUP($A260,'8.Non-elective admissions - CCG'!$D$5:$Q$215,13,0)*$H260</f>
        <v>3207.9255200784692</v>
      </c>
      <c r="U260" s="384">
        <f>VLOOKUP($A260,'8.Non-elective admissions - CCG'!$D$5:$Q$215,14,0)*$H260</f>
        <v>3059.3170172895898</v>
      </c>
    </row>
    <row r="261" spans="1:21">
      <c r="A261" s="395" t="s">
        <v>217</v>
      </c>
      <c r="B261" s="395" t="s">
        <v>216</v>
      </c>
      <c r="C261" s="395" t="s">
        <v>679</v>
      </c>
      <c r="D261" s="395" t="s">
        <v>132</v>
      </c>
      <c r="E261" s="537">
        <f>COUNTIF($D$5:D261,D261)</f>
        <v>3</v>
      </c>
      <c r="F261" s="537" t="str">
        <f t="shared" ref="F261:F324" si="8">D261&amp;E261</f>
        <v>Croydon3</v>
      </c>
      <c r="G261" s="541" t="str">
        <f t="shared" ref="G261:G324" si="9">B261</f>
        <v>NHS East Surrey CCG</v>
      </c>
      <c r="H261" s="546">
        <v>2.9689356645730771E-2</v>
      </c>
      <c r="I261" s="546">
        <v>1.3230922079526742E-2</v>
      </c>
      <c r="J261" s="384">
        <f>VLOOKUP($A261,'8.Non-elective admissions - CCG'!$D$5:$N$215,3,0)*$H261</f>
        <v>122.14201324053639</v>
      </c>
      <c r="K261" s="384">
        <f>VLOOKUP($A261,'8.Non-elective admissions - CCG'!$D$5:$N$215,4,0)*$H261</f>
        <v>122.32014938041078</v>
      </c>
      <c r="L261" s="384">
        <f>VLOOKUP($A261,'8.Non-elective admissions - CCG'!$D$5:$N$215,5,0)*$H261</f>
        <v>123.47803428959428</v>
      </c>
      <c r="M261" s="384">
        <f>VLOOKUP($A261,'8.Non-elective admissions - CCG'!$D$5:$N$215,6,0)*$H261</f>
        <v>123.53741300288574</v>
      </c>
      <c r="N261" s="384">
        <f>VLOOKUP($A261,'8.Non-elective admissions - CCG'!$D$5:$N$215,7,0)*$H261</f>
        <v>110.68192157528432</v>
      </c>
      <c r="O261" s="384">
        <f>VLOOKUP($A261,'8.Non-elective admissions - CCG'!$D$5:$N$215,8,0)*$H261</f>
        <v>110.68192157528432</v>
      </c>
      <c r="P261" s="384">
        <f>VLOOKUP($A261,'8.Non-elective admissions - CCG'!$D$5:$N$215,9,0)*$H261</f>
        <v>110.7709896452215</v>
      </c>
      <c r="Q261" s="384">
        <f>VLOOKUP($A261,'8.Non-elective admissions - CCG'!$D$5:$N$215,10,0)*$H261</f>
        <v>111.36477677813612</v>
      </c>
      <c r="R261" s="384">
        <f>VLOOKUP($A261,'8.Non-elective admissions - CCG'!$D$5:$Q$215,11,0)*$H261</f>
        <v>110.08813444236969</v>
      </c>
      <c r="S261" s="384">
        <f>VLOOKUP($A261,'8.Non-elective admissions - CCG'!$D$5:$Q$215,12,0)*$H261</f>
        <v>110.14751315566116</v>
      </c>
      <c r="T261" s="384">
        <f>VLOOKUP($A261,'8.Non-elective admissions - CCG'!$D$5:$Q$215,13,0)*$H261</f>
        <v>110.17720251230689</v>
      </c>
      <c r="U261" s="384">
        <f>VLOOKUP($A261,'8.Non-elective admissions - CCG'!$D$5:$Q$215,14,0)*$H261</f>
        <v>110.74130028857577</v>
      </c>
    </row>
    <row r="262" spans="1:21">
      <c r="A262" s="395" t="s">
        <v>217</v>
      </c>
      <c r="B262" s="395" t="s">
        <v>216</v>
      </c>
      <c r="C262" s="395" t="s">
        <v>712</v>
      </c>
      <c r="D262" s="395" t="s">
        <v>252</v>
      </c>
      <c r="E262" s="537">
        <f>COUNTIF($D$5:D262,D262)</f>
        <v>6</v>
      </c>
      <c r="F262" s="537" t="str">
        <f t="shared" si="8"/>
        <v>Kent6</v>
      </c>
      <c r="G262" s="541" t="str">
        <f t="shared" si="9"/>
        <v>NHS East Surrey CCG</v>
      </c>
      <c r="H262" s="546">
        <v>1.4032705256606119E-3</v>
      </c>
      <c r="I262" s="546">
        <v>0</v>
      </c>
      <c r="J262" s="384">
        <f>VLOOKUP($A262,'8.Non-elective admissions - CCG'!$D$5:$N$215,3,0)*$H262</f>
        <v>5.7730549425677573</v>
      </c>
      <c r="K262" s="384">
        <f>VLOOKUP($A262,'8.Non-elective admissions - CCG'!$D$5:$N$215,4,0)*$H262</f>
        <v>5.7814745657217212</v>
      </c>
      <c r="L262" s="384">
        <f>VLOOKUP($A262,'8.Non-elective admissions - CCG'!$D$5:$N$215,5,0)*$H262</f>
        <v>5.8362021162224851</v>
      </c>
      <c r="M262" s="384">
        <f>VLOOKUP($A262,'8.Non-elective admissions - CCG'!$D$5:$N$215,6,0)*$H262</f>
        <v>5.8390086572738058</v>
      </c>
      <c r="N262" s="384">
        <f>VLOOKUP($A262,'8.Non-elective admissions - CCG'!$D$5:$N$215,7,0)*$H262</f>
        <v>5.2313925196627613</v>
      </c>
      <c r="O262" s="384">
        <f>VLOOKUP($A262,'8.Non-elective admissions - CCG'!$D$5:$N$215,8,0)*$H262</f>
        <v>5.2313925196627613</v>
      </c>
      <c r="P262" s="384">
        <f>VLOOKUP($A262,'8.Non-elective admissions - CCG'!$D$5:$N$215,9,0)*$H262</f>
        <v>5.2356023312397433</v>
      </c>
      <c r="Q262" s="384">
        <f>VLOOKUP($A262,'8.Non-elective admissions - CCG'!$D$5:$N$215,10,0)*$H262</f>
        <v>5.2636677417529549</v>
      </c>
      <c r="R262" s="384">
        <f>VLOOKUP($A262,'8.Non-elective admissions - CCG'!$D$5:$Q$215,11,0)*$H262</f>
        <v>5.2033271091495488</v>
      </c>
      <c r="S262" s="384">
        <f>VLOOKUP($A262,'8.Non-elective admissions - CCG'!$D$5:$Q$215,12,0)*$H262</f>
        <v>5.2061336502008704</v>
      </c>
      <c r="T262" s="384">
        <f>VLOOKUP($A262,'8.Non-elective admissions - CCG'!$D$5:$Q$215,13,0)*$H262</f>
        <v>5.2075369207265307</v>
      </c>
      <c r="U262" s="384">
        <f>VLOOKUP($A262,'8.Non-elective admissions - CCG'!$D$5:$Q$215,14,0)*$H262</f>
        <v>5.234199060714082</v>
      </c>
    </row>
    <row r="263" spans="1:21">
      <c r="A263" s="395" t="s">
        <v>217</v>
      </c>
      <c r="B263" s="395" t="s">
        <v>216</v>
      </c>
      <c r="C263" s="395" t="s">
        <v>775</v>
      </c>
      <c r="D263" s="395" t="s">
        <v>441</v>
      </c>
      <c r="E263" s="537">
        <f>COUNTIF($D$5:D263,D263)</f>
        <v>6</v>
      </c>
      <c r="F263" s="537" t="str">
        <f t="shared" si="8"/>
        <v>Surrey6</v>
      </c>
      <c r="G263" s="541" t="str">
        <f t="shared" si="9"/>
        <v>NHS East Surrey CCG</v>
      </c>
      <c r="H263" s="546">
        <v>0.96569343065693414</v>
      </c>
      <c r="I263" s="546">
        <v>0.14073655652403375</v>
      </c>
      <c r="J263" s="384">
        <f>VLOOKUP($A263,'8.Non-elective admissions - CCG'!$D$5:$N$215,3,0)*$H263</f>
        <v>3972.862773722627</v>
      </c>
      <c r="K263" s="384">
        <f>VLOOKUP($A263,'8.Non-elective admissions - CCG'!$D$5:$N$215,4,0)*$H263</f>
        <v>3978.6569343065685</v>
      </c>
      <c r="L263" s="384">
        <f>VLOOKUP($A263,'8.Non-elective admissions - CCG'!$D$5:$N$215,5,0)*$H263</f>
        <v>4016.3189781021892</v>
      </c>
      <c r="M263" s="384">
        <f>VLOOKUP($A263,'8.Non-elective admissions - CCG'!$D$5:$N$215,6,0)*$H263</f>
        <v>4018.2503649635028</v>
      </c>
      <c r="N263" s="384">
        <f>VLOOKUP($A263,'8.Non-elective admissions - CCG'!$D$5:$N$215,7,0)*$H263</f>
        <v>3600.1051094890504</v>
      </c>
      <c r="O263" s="384">
        <f>VLOOKUP($A263,'8.Non-elective admissions - CCG'!$D$5:$N$215,8,0)*$H263</f>
        <v>3600.1051094890504</v>
      </c>
      <c r="P263" s="384">
        <f>VLOOKUP($A263,'8.Non-elective admissions - CCG'!$D$5:$N$215,9,0)*$H263</f>
        <v>3603.0021897810211</v>
      </c>
      <c r="Q263" s="384">
        <f>VLOOKUP($A263,'8.Non-elective admissions - CCG'!$D$5:$N$215,10,0)*$H263</f>
        <v>3622.3160583941599</v>
      </c>
      <c r="R263" s="384">
        <f>VLOOKUP($A263,'8.Non-elective admissions - CCG'!$D$5:$Q$215,11,0)*$H263</f>
        <v>3580.7912408759116</v>
      </c>
      <c r="S263" s="384">
        <f>VLOOKUP($A263,'8.Non-elective admissions - CCG'!$D$5:$Q$215,12,0)*$H263</f>
        <v>3582.7226277372256</v>
      </c>
      <c r="T263" s="384">
        <f>VLOOKUP($A263,'8.Non-elective admissions - CCG'!$D$5:$Q$215,13,0)*$H263</f>
        <v>3583.6883211678828</v>
      </c>
      <c r="U263" s="384">
        <f>VLOOKUP($A263,'8.Non-elective admissions - CCG'!$D$5:$Q$215,14,0)*$H263</f>
        <v>3602.0364963503644</v>
      </c>
    </row>
    <row r="264" spans="1:21">
      <c r="A264" s="395" t="s">
        <v>217</v>
      </c>
      <c r="B264" s="395" t="s">
        <v>216</v>
      </c>
      <c r="C264" s="395" t="s">
        <v>791</v>
      </c>
      <c r="D264" s="395" t="s">
        <v>489</v>
      </c>
      <c r="E264" s="537">
        <f>COUNTIF($D$5:D264,D264)</f>
        <v>4</v>
      </c>
      <c r="F264" s="537" t="str">
        <f t="shared" si="8"/>
        <v>West Sussex4</v>
      </c>
      <c r="G264" s="541" t="str">
        <f t="shared" si="9"/>
        <v>NHS East Surrey CCG</v>
      </c>
      <c r="H264" s="546">
        <v>3.213942171674305E-3</v>
      </c>
      <c r="I264" s="546">
        <v>0</v>
      </c>
      <c r="J264" s="384">
        <f>VLOOKUP($A264,'8.Non-elective admissions - CCG'!$D$5:$N$215,3,0)*$H264</f>
        <v>13.222158094268091</v>
      </c>
      <c r="K264" s="384">
        <f>VLOOKUP($A264,'8.Non-elective admissions - CCG'!$D$5:$N$215,4,0)*$H264</f>
        <v>13.241441747298136</v>
      </c>
      <c r="L264" s="384">
        <f>VLOOKUP($A264,'8.Non-elective admissions - CCG'!$D$5:$N$215,5,0)*$H264</f>
        <v>13.366785491993435</v>
      </c>
      <c r="M264" s="384">
        <f>VLOOKUP($A264,'8.Non-elective admissions - CCG'!$D$5:$N$215,6,0)*$H264</f>
        <v>13.373213376336784</v>
      </c>
      <c r="N264" s="384">
        <f>VLOOKUP($A264,'8.Non-elective admissions - CCG'!$D$5:$N$215,7,0)*$H264</f>
        <v>11.981576416001809</v>
      </c>
      <c r="O264" s="384">
        <f>VLOOKUP($A264,'8.Non-elective admissions - CCG'!$D$5:$N$215,8,0)*$H264</f>
        <v>11.981576416001809</v>
      </c>
      <c r="P264" s="384">
        <f>VLOOKUP($A264,'8.Non-elective admissions - CCG'!$D$5:$N$215,9,0)*$H264</f>
        <v>11.991218242516831</v>
      </c>
      <c r="Q264" s="384">
        <f>VLOOKUP($A264,'8.Non-elective admissions - CCG'!$D$5:$N$215,10,0)*$H264</f>
        <v>12.055497085950318</v>
      </c>
      <c r="R264" s="384">
        <f>VLOOKUP($A264,'8.Non-elective admissions - CCG'!$D$5:$Q$215,11,0)*$H264</f>
        <v>11.917297572568323</v>
      </c>
      <c r="S264" s="384">
        <f>VLOOKUP($A264,'8.Non-elective admissions - CCG'!$D$5:$Q$215,12,0)*$H264</f>
        <v>11.923725456911672</v>
      </c>
      <c r="T264" s="384">
        <f>VLOOKUP($A264,'8.Non-elective admissions - CCG'!$D$5:$Q$215,13,0)*$H264</f>
        <v>11.926939399083345</v>
      </c>
      <c r="U264" s="384">
        <f>VLOOKUP($A264,'8.Non-elective admissions - CCG'!$D$5:$Q$215,14,0)*$H264</f>
        <v>11.988004300345157</v>
      </c>
    </row>
    <row r="265" spans="1:21">
      <c r="A265" s="395" t="s">
        <v>221</v>
      </c>
      <c r="B265" s="395" t="s">
        <v>220</v>
      </c>
      <c r="C265" s="395" t="s">
        <v>690</v>
      </c>
      <c r="D265" s="395" t="s">
        <v>173</v>
      </c>
      <c r="E265" s="537">
        <f>COUNTIF($D$5:D265,D265)</f>
        <v>2</v>
      </c>
      <c r="F265" s="537" t="str">
        <f t="shared" si="8"/>
        <v>East Sussex2</v>
      </c>
      <c r="G265" s="541" t="str">
        <f t="shared" si="9"/>
        <v>NHS Eastbourne, Hailsham and Seaford CCG</v>
      </c>
      <c r="H265" s="546">
        <v>1</v>
      </c>
      <c r="I265" s="546">
        <v>0.34332573220007345</v>
      </c>
      <c r="J265" s="384">
        <f>VLOOKUP($A265,'8.Non-elective admissions - CCG'!$D$5:$N$215,3,0)*$H265</f>
        <v>4640</v>
      </c>
      <c r="K265" s="384">
        <f>VLOOKUP($A265,'8.Non-elective admissions - CCG'!$D$5:$N$215,4,0)*$H265</f>
        <v>4658</v>
      </c>
      <c r="L265" s="384">
        <f>VLOOKUP($A265,'8.Non-elective admissions - CCG'!$D$5:$N$215,5,0)*$H265</f>
        <v>4928</v>
      </c>
      <c r="M265" s="384">
        <f>VLOOKUP($A265,'8.Non-elective admissions - CCG'!$D$5:$N$215,6,0)*$H265</f>
        <v>4768</v>
      </c>
      <c r="N265" s="384">
        <f>VLOOKUP($A265,'8.Non-elective admissions - CCG'!$D$5:$N$215,7,0)*$H265</f>
        <v>4152</v>
      </c>
      <c r="O265" s="384">
        <f>VLOOKUP($A265,'8.Non-elective admissions - CCG'!$D$5:$N$215,8,0)*$H265</f>
        <v>4195</v>
      </c>
      <c r="P265" s="384">
        <f>VLOOKUP($A265,'8.Non-elective admissions - CCG'!$D$5:$N$215,9,0)*$H265</f>
        <v>4194</v>
      </c>
      <c r="Q265" s="384">
        <f>VLOOKUP($A265,'8.Non-elective admissions - CCG'!$D$5:$N$215,10,0)*$H265</f>
        <v>4111</v>
      </c>
      <c r="R265" s="384">
        <f>VLOOKUP($A265,'8.Non-elective admissions - CCG'!$D$5:$Q$215,11,0)*$H265</f>
        <v>4198</v>
      </c>
      <c r="S265" s="384">
        <f>VLOOKUP($A265,'8.Non-elective admissions - CCG'!$D$5:$Q$215,12,0)*$H265</f>
        <v>4242</v>
      </c>
      <c r="T265" s="384">
        <f>VLOOKUP($A265,'8.Non-elective admissions - CCG'!$D$5:$Q$215,13,0)*$H265</f>
        <v>4241</v>
      </c>
      <c r="U265" s="384">
        <f>VLOOKUP($A265,'8.Non-elective admissions - CCG'!$D$5:$Q$215,14,0)*$H265</f>
        <v>4158</v>
      </c>
    </row>
    <row r="266" spans="1:21">
      <c r="A266" s="395" t="s">
        <v>225</v>
      </c>
      <c r="B266" s="395" t="s">
        <v>224</v>
      </c>
      <c r="C266" s="395" t="s">
        <v>673</v>
      </c>
      <c r="D266" s="395" t="s">
        <v>110</v>
      </c>
      <c r="E266" s="537">
        <f>COUNTIF($D$5:D266,D266)</f>
        <v>1</v>
      </c>
      <c r="F266" s="537" t="str">
        <f t="shared" si="8"/>
        <v>Cheshire East1</v>
      </c>
      <c r="G266" s="541" t="str">
        <f t="shared" si="9"/>
        <v>NHS Eastern Cheshire CCG</v>
      </c>
      <c r="H266" s="546">
        <v>0.96280983676892185</v>
      </c>
      <c r="I266" s="546">
        <v>0.50830486966772814</v>
      </c>
      <c r="J266" s="384">
        <f>VLOOKUP($A266,'8.Non-elective admissions - CCG'!$D$5:$N$215,3,0)*$H266</f>
        <v>4672.5161378395778</v>
      </c>
      <c r="K266" s="384">
        <f>VLOOKUP($A266,'8.Non-elective admissions - CCG'!$D$5:$N$215,4,0)*$H266</f>
        <v>4781.3136493944658</v>
      </c>
      <c r="L266" s="384">
        <f>VLOOKUP($A266,'8.Non-elective admissions - CCG'!$D$5:$N$215,5,0)*$H266</f>
        <v>4962.3218987070231</v>
      </c>
      <c r="M266" s="384">
        <f>VLOOKUP($A266,'8.Non-elective admissions - CCG'!$D$5:$N$215,6,0)*$H266</f>
        <v>4692.7351444117248</v>
      </c>
      <c r="N266" s="384">
        <f>VLOOKUP($A266,'8.Non-elective admissions - CCG'!$D$5:$N$215,7,0)*$H266</f>
        <v>4608.0078787760604</v>
      </c>
      <c r="O266" s="384">
        <f>VLOOKUP($A266,'8.Non-elective admissions - CCG'!$D$5:$N$215,8,0)*$H266</f>
        <v>4676.3673771866534</v>
      </c>
      <c r="P266" s="384">
        <f>VLOOKUP($A266,'8.Non-elective admissions - CCG'!$D$5:$N$215,9,0)*$H266</f>
        <v>4801.5326559666137</v>
      </c>
      <c r="Q266" s="384">
        <f>VLOOKUP($A266,'8.Non-elective admissions - CCG'!$D$5:$N$215,10,0)*$H266</f>
        <v>4667.702088655733</v>
      </c>
      <c r="R266" s="384">
        <f>VLOOKUP($A266,'8.Non-elective admissions - CCG'!$D$5:$Q$215,11,0)*$H266</f>
        <v>4464.5492130974908</v>
      </c>
      <c r="S266" s="384">
        <f>VLOOKUP($A266,'8.Non-elective admissions - CCG'!$D$5:$Q$215,12,0)*$H266</f>
        <v>4528.0946623242398</v>
      </c>
      <c r="T266" s="384">
        <f>VLOOKUP($A266,'8.Non-elective admissions - CCG'!$D$5:$Q$215,13,0)*$H266</f>
        <v>4652.2971312674299</v>
      </c>
      <c r="U266" s="384">
        <f>VLOOKUP($A266,'8.Non-elective admissions - CCG'!$D$5:$Q$215,14,0)*$H266</f>
        <v>4524.2434229771634</v>
      </c>
    </row>
    <row r="267" spans="1:21">
      <c r="A267" s="395" t="s">
        <v>225</v>
      </c>
      <c r="B267" s="395" t="s">
        <v>224</v>
      </c>
      <c r="C267" s="395" t="s">
        <v>674</v>
      </c>
      <c r="D267" s="395" t="s">
        <v>114</v>
      </c>
      <c r="E267" s="537">
        <f>COUNTIF($D$5:D267,D267)</f>
        <v>1</v>
      </c>
      <c r="F267" s="537" t="str">
        <f t="shared" si="8"/>
        <v>Cheshire West and Chester1</v>
      </c>
      <c r="G267" s="541" t="str">
        <f t="shared" si="9"/>
        <v>NHS Eastern Cheshire CCG</v>
      </c>
      <c r="H267" s="546">
        <v>1.1130721376055542E-2</v>
      </c>
      <c r="I267" s="546">
        <v>6.5390740464924433E-3</v>
      </c>
      <c r="J267" s="384">
        <f>VLOOKUP($A267,'8.Non-elective admissions - CCG'!$D$5:$N$215,3,0)*$H267</f>
        <v>54.017390837997546</v>
      </c>
      <c r="K267" s="384">
        <f>VLOOKUP($A267,'8.Non-elective admissions - CCG'!$D$5:$N$215,4,0)*$H267</f>
        <v>55.275162353491822</v>
      </c>
      <c r="L267" s="384">
        <f>VLOOKUP($A267,'8.Non-elective admissions - CCG'!$D$5:$N$215,5,0)*$H267</f>
        <v>57.367737972190262</v>
      </c>
      <c r="M267" s="384">
        <f>VLOOKUP($A267,'8.Non-elective admissions - CCG'!$D$5:$N$215,6,0)*$H267</f>
        <v>54.25113598689471</v>
      </c>
      <c r="N267" s="384">
        <f>VLOOKUP($A267,'8.Non-elective admissions - CCG'!$D$5:$N$215,7,0)*$H267</f>
        <v>53.271632505801826</v>
      </c>
      <c r="O267" s="384">
        <f>VLOOKUP($A267,'8.Non-elective admissions - CCG'!$D$5:$N$215,8,0)*$H267</f>
        <v>54.061913723501767</v>
      </c>
      <c r="P267" s="384">
        <f>VLOOKUP($A267,'8.Non-elective admissions - CCG'!$D$5:$N$215,9,0)*$H267</f>
        <v>55.508907502388986</v>
      </c>
      <c r="Q267" s="384">
        <f>VLOOKUP($A267,'8.Non-elective admissions - CCG'!$D$5:$N$215,10,0)*$H267</f>
        <v>53.961737231117269</v>
      </c>
      <c r="R267" s="384">
        <f>VLOOKUP($A267,'8.Non-elective admissions - CCG'!$D$5:$Q$215,11,0)*$H267</f>
        <v>51.613155020769547</v>
      </c>
      <c r="S267" s="384">
        <f>VLOOKUP($A267,'8.Non-elective admissions - CCG'!$D$5:$Q$215,12,0)*$H267</f>
        <v>52.347782631589219</v>
      </c>
      <c r="T267" s="384">
        <f>VLOOKUP($A267,'8.Non-elective admissions - CCG'!$D$5:$Q$215,13,0)*$H267</f>
        <v>53.783645689100382</v>
      </c>
      <c r="U267" s="384">
        <f>VLOOKUP($A267,'8.Non-elective admissions - CCG'!$D$5:$Q$215,14,0)*$H267</f>
        <v>52.30325974608499</v>
      </c>
    </row>
    <row r="268" spans="1:21">
      <c r="A268" s="395" t="s">
        <v>225</v>
      </c>
      <c r="B268" s="395" t="s">
        <v>224</v>
      </c>
      <c r="C268" s="395" t="s">
        <v>683</v>
      </c>
      <c r="D268" s="395" t="s">
        <v>146</v>
      </c>
      <c r="E268" s="537">
        <f>COUNTIF($D$5:D268,D268)</f>
        <v>3</v>
      </c>
      <c r="F268" s="537" t="str">
        <f t="shared" si="8"/>
        <v>Derbyshire3</v>
      </c>
      <c r="G268" s="541" t="str">
        <f t="shared" si="9"/>
        <v>NHS Eastern Cheshire CCG</v>
      </c>
      <c r="H268" s="546">
        <v>3.3445794410749464E-3</v>
      </c>
      <c r="I268" s="546">
        <v>0</v>
      </c>
      <c r="J268" s="384">
        <f>VLOOKUP($A268,'8.Non-elective admissions - CCG'!$D$5:$N$215,3,0)*$H268</f>
        <v>16.231244027536714</v>
      </c>
      <c r="K268" s="384">
        <f>VLOOKUP($A268,'8.Non-elective admissions - CCG'!$D$5:$N$215,4,0)*$H268</f>
        <v>16.609181504378185</v>
      </c>
      <c r="L268" s="384">
        <f>VLOOKUP($A268,'8.Non-elective admissions - CCG'!$D$5:$N$215,5,0)*$H268</f>
        <v>17.237962439300272</v>
      </c>
      <c r="M268" s="384">
        <f>VLOOKUP($A268,'8.Non-elective admissions - CCG'!$D$5:$N$215,6,0)*$H268</f>
        <v>16.301480195799289</v>
      </c>
      <c r="N268" s="384">
        <f>VLOOKUP($A268,'8.Non-elective admissions - CCG'!$D$5:$N$215,7,0)*$H268</f>
        <v>16.007157204984694</v>
      </c>
      <c r="O268" s="384">
        <f>VLOOKUP($A268,'8.Non-elective admissions - CCG'!$D$5:$N$215,8,0)*$H268</f>
        <v>16.244622345301014</v>
      </c>
      <c r="P268" s="384">
        <f>VLOOKUP($A268,'8.Non-elective admissions - CCG'!$D$5:$N$215,9,0)*$H268</f>
        <v>16.679417672640756</v>
      </c>
      <c r="Q268" s="384">
        <f>VLOOKUP($A268,'8.Non-elective admissions - CCG'!$D$5:$N$215,10,0)*$H268</f>
        <v>16.214521130331342</v>
      </c>
      <c r="R268" s="384">
        <f>VLOOKUP($A268,'8.Non-elective admissions - CCG'!$D$5:$Q$215,11,0)*$H268</f>
        <v>15.508814868264526</v>
      </c>
      <c r="S268" s="384">
        <f>VLOOKUP($A268,'8.Non-elective admissions - CCG'!$D$5:$Q$215,12,0)*$H268</f>
        <v>15.729557111375472</v>
      </c>
      <c r="T268" s="384">
        <f>VLOOKUP($A268,'8.Non-elective admissions - CCG'!$D$5:$Q$215,13,0)*$H268</f>
        <v>16.16100785927414</v>
      </c>
      <c r="U268" s="384">
        <f>VLOOKUP($A268,'8.Non-elective admissions - CCG'!$D$5:$Q$215,14,0)*$H268</f>
        <v>15.716178793611173</v>
      </c>
    </row>
    <row r="269" spans="1:21">
      <c r="A269" s="395" t="s">
        <v>225</v>
      </c>
      <c r="B269" s="395" t="s">
        <v>224</v>
      </c>
      <c r="C269" s="395" t="s">
        <v>769</v>
      </c>
      <c r="D269" s="395" t="s">
        <v>423</v>
      </c>
      <c r="E269" s="537">
        <f>COUNTIF($D$5:D269,D269)</f>
        <v>5</v>
      </c>
      <c r="F269" s="537" t="str">
        <f t="shared" si="8"/>
        <v>Staffordshire5</v>
      </c>
      <c r="G269" s="541" t="str">
        <f t="shared" si="9"/>
        <v>NHS Eastern Cheshire CCG</v>
      </c>
      <c r="H269" s="546">
        <v>6.016342609747061E-3</v>
      </c>
      <c r="I269" s="546">
        <v>1.4189257559171734E-3</v>
      </c>
      <c r="J269" s="384">
        <f>VLOOKUP($A269,'8.Non-elective admissions - CCG'!$D$5:$N$215,3,0)*$H269</f>
        <v>29.197310685102487</v>
      </c>
      <c r="K269" s="384">
        <f>VLOOKUP($A269,'8.Non-elective admissions - CCG'!$D$5:$N$215,4,0)*$H269</f>
        <v>29.877157400003906</v>
      </c>
      <c r="L269" s="384">
        <f>VLOOKUP($A269,'8.Non-elective admissions - CCG'!$D$5:$N$215,5,0)*$H269</f>
        <v>31.008229810636351</v>
      </c>
      <c r="M269" s="384">
        <f>VLOOKUP($A269,'8.Non-elective admissions - CCG'!$D$5:$N$215,6,0)*$H269</f>
        <v>29.323653879907177</v>
      </c>
      <c r="N269" s="384">
        <f>VLOOKUP($A269,'8.Non-elective admissions - CCG'!$D$5:$N$215,7,0)*$H269</f>
        <v>28.794215730249434</v>
      </c>
      <c r="O269" s="384">
        <f>VLOOKUP($A269,'8.Non-elective admissions - CCG'!$D$5:$N$215,8,0)*$H269</f>
        <v>29.221376055541477</v>
      </c>
      <c r="P269" s="384">
        <f>VLOOKUP($A269,'8.Non-elective admissions - CCG'!$D$5:$N$215,9,0)*$H269</f>
        <v>30.003500594808592</v>
      </c>
      <c r="Q269" s="384">
        <f>VLOOKUP($A269,'8.Non-elective admissions - CCG'!$D$5:$N$215,10,0)*$H269</f>
        <v>29.167228972053753</v>
      </c>
      <c r="R269" s="384">
        <f>VLOOKUP($A269,'8.Non-elective admissions - CCG'!$D$5:$Q$215,11,0)*$H269</f>
        <v>27.897780681397123</v>
      </c>
      <c r="S269" s="384">
        <f>VLOOKUP($A269,'8.Non-elective admissions - CCG'!$D$5:$Q$215,12,0)*$H269</f>
        <v>28.294859293640428</v>
      </c>
      <c r="T269" s="384">
        <f>VLOOKUP($A269,'8.Non-elective admissions - CCG'!$D$5:$Q$215,13,0)*$H269</f>
        <v>29.0709674902978</v>
      </c>
      <c r="U269" s="384">
        <f>VLOOKUP($A269,'8.Non-elective admissions - CCG'!$D$5:$Q$215,14,0)*$H269</f>
        <v>28.270793923201438</v>
      </c>
    </row>
    <row r="270" spans="1:21">
      <c r="A270" s="395" t="s">
        <v>225</v>
      </c>
      <c r="B270" s="395" t="s">
        <v>224</v>
      </c>
      <c r="C270" s="395" t="s">
        <v>770</v>
      </c>
      <c r="D270" s="395" t="s">
        <v>426</v>
      </c>
      <c r="E270" s="537">
        <f>COUNTIF($D$5:D270,D270)</f>
        <v>2</v>
      </c>
      <c r="F270" s="537" t="str">
        <f t="shared" si="8"/>
        <v>Stockport2</v>
      </c>
      <c r="G270" s="541" t="str">
        <f t="shared" si="9"/>
        <v>NHS Eastern Cheshire CCG</v>
      </c>
      <c r="H270" s="546">
        <v>1.6698519804200715E-2</v>
      </c>
      <c r="I270" s="546">
        <v>1.1426760304936027E-2</v>
      </c>
      <c r="J270" s="384">
        <f>VLOOKUP($A270,'8.Non-elective admissions - CCG'!$D$5:$N$215,3,0)*$H270</f>
        <v>81.037916609786066</v>
      </c>
      <c r="K270" s="384">
        <f>VLOOKUP($A270,'8.Non-elective admissions - CCG'!$D$5:$N$215,4,0)*$H270</f>
        <v>82.924849347660754</v>
      </c>
      <c r="L270" s="384">
        <f>VLOOKUP($A270,'8.Non-elective admissions - CCG'!$D$5:$N$215,5,0)*$H270</f>
        <v>86.064171070850492</v>
      </c>
      <c r="M270" s="384">
        <f>VLOOKUP($A270,'8.Non-elective admissions - CCG'!$D$5:$N$215,6,0)*$H270</f>
        <v>81.388585525674287</v>
      </c>
      <c r="N270" s="384">
        <f>VLOOKUP($A270,'8.Non-elective admissions - CCG'!$D$5:$N$215,7,0)*$H270</f>
        <v>79.919115782904626</v>
      </c>
      <c r="O270" s="384">
        <f>VLOOKUP($A270,'8.Non-elective admissions - CCG'!$D$5:$N$215,8,0)*$H270</f>
        <v>81.104710689002872</v>
      </c>
      <c r="P270" s="384">
        <f>VLOOKUP($A270,'8.Non-elective admissions - CCG'!$D$5:$N$215,9,0)*$H270</f>
        <v>83.27551826354896</v>
      </c>
      <c r="Q270" s="384">
        <f>VLOOKUP($A270,'8.Non-elective admissions - CCG'!$D$5:$N$215,10,0)*$H270</f>
        <v>80.954424010765067</v>
      </c>
      <c r="R270" s="384">
        <f>VLOOKUP($A270,'8.Non-elective admissions - CCG'!$D$5:$Q$215,11,0)*$H270</f>
        <v>77.431036332078719</v>
      </c>
      <c r="S270" s="384">
        <f>VLOOKUP($A270,'8.Non-elective admissions - CCG'!$D$5:$Q$215,12,0)*$H270</f>
        <v>78.533138639155965</v>
      </c>
      <c r="T270" s="384">
        <f>VLOOKUP($A270,'8.Non-elective admissions - CCG'!$D$5:$Q$215,13,0)*$H270</f>
        <v>80.687247693897859</v>
      </c>
      <c r="U270" s="384">
        <f>VLOOKUP($A270,'8.Non-elective admissions - CCG'!$D$5:$Q$215,14,0)*$H270</f>
        <v>78.466344559939159</v>
      </c>
    </row>
    <row r="271" spans="1:21">
      <c r="A271" s="395" t="s">
        <v>229</v>
      </c>
      <c r="B271" s="395" t="s">
        <v>1204</v>
      </c>
      <c r="C271" s="395" t="s">
        <v>651</v>
      </c>
      <c r="D271" s="395" t="s">
        <v>16</v>
      </c>
      <c r="E271" s="537">
        <f>COUNTIF($D$5:D271,D271)</f>
        <v>5</v>
      </c>
      <c r="F271" s="537" t="str">
        <f t="shared" si="8"/>
        <v>Barnet5</v>
      </c>
      <c r="G271" s="541" t="str">
        <f t="shared" si="9"/>
        <v>NHS Enfield CCG</v>
      </c>
      <c r="H271" s="546">
        <v>3.0616778380884311E-2</v>
      </c>
      <c r="I271" s="546">
        <v>2.5070452981696724E-2</v>
      </c>
      <c r="J271" s="384">
        <f>VLOOKUP($A271,'8.Non-elective admissions - CCG'!$D$5:$N$215,3,0)*$H271</f>
        <v>180.14912399312328</v>
      </c>
      <c r="K271" s="384">
        <f>VLOOKUP($A271,'8.Non-elective admissions - CCG'!$D$5:$N$215,4,0)*$H271</f>
        <v>174.30131932237438</v>
      </c>
      <c r="L271" s="384">
        <f>VLOOKUP($A271,'8.Non-elective admissions - CCG'!$D$5:$N$215,5,0)*$H271</f>
        <v>192.15090111842994</v>
      </c>
      <c r="M271" s="384">
        <f>VLOOKUP($A271,'8.Non-elective admissions - CCG'!$D$5:$N$215,6,0)*$H271</f>
        <v>215.35841913114024</v>
      </c>
      <c r="N271" s="384">
        <f>VLOOKUP($A271,'8.Non-elective admissions - CCG'!$D$5:$N$215,7,0)*$H271</f>
        <v>182.57492686337767</v>
      </c>
      <c r="O271" s="384">
        <f>VLOOKUP($A271,'8.Non-elective admissions - CCG'!$D$5:$N$215,8,0)*$H271</f>
        <v>178.66641533704049</v>
      </c>
      <c r="P271" s="384">
        <f>VLOOKUP($A271,'8.Non-elective admissions - CCG'!$D$5:$N$215,9,0)*$H271</f>
        <v>185.05682420107206</v>
      </c>
      <c r="Q271" s="384">
        <f>VLOOKUP($A271,'8.Non-elective admissions - CCG'!$D$5:$N$215,10,0)*$H271</f>
        <v>169.77809271689719</v>
      </c>
      <c r="R271" s="384">
        <f>VLOOKUP($A271,'8.Non-elective admissions - CCG'!$D$5:$Q$215,11,0)*$H271</f>
        <v>182.10385713019181</v>
      </c>
      <c r="S271" s="384">
        <f>VLOOKUP($A271,'8.Non-elective admissions - CCG'!$D$5:$Q$215,12,0)*$H271</f>
        <v>178.15655252142594</v>
      </c>
      <c r="T271" s="384">
        <f>VLOOKUP($A271,'8.Non-elective admissions - CCG'!$D$5:$Q$215,13,0)*$H271</f>
        <v>184.55655602247967</v>
      </c>
      <c r="U271" s="384">
        <f>VLOOKUP($A271,'8.Non-elective admissions - CCG'!$D$5:$Q$215,14,0)*$H271</f>
        <v>169.46567776744672</v>
      </c>
    </row>
    <row r="272" spans="1:21">
      <c r="A272" s="395" t="s">
        <v>229</v>
      </c>
      <c r="B272" s="395" t="s">
        <v>1204</v>
      </c>
      <c r="C272" s="395" t="s">
        <v>691</v>
      </c>
      <c r="D272" s="395" t="s">
        <v>176</v>
      </c>
      <c r="E272" s="537">
        <f>COUNTIF($D$5:D272,D272)</f>
        <v>4</v>
      </c>
      <c r="F272" s="537" t="str">
        <f t="shared" si="8"/>
        <v>Enfield4</v>
      </c>
      <c r="G272" s="541" t="str">
        <f t="shared" si="9"/>
        <v>NHS Enfield CCG</v>
      </c>
      <c r="H272" s="546">
        <v>0.95415853760616065</v>
      </c>
      <c r="I272" s="546">
        <v>0.9066200470478829</v>
      </c>
      <c r="J272" s="384">
        <f>VLOOKUP($A272,'8.Non-elective admissions - CCG'!$D$5:$N$215,3,0)*$H272</f>
        <v>5614.2688352746491</v>
      </c>
      <c r="K272" s="384">
        <f>VLOOKUP($A272,'8.Non-elective admissions - CCG'!$D$5:$N$215,4,0)*$H272</f>
        <v>5432.0245545918724</v>
      </c>
      <c r="L272" s="384">
        <f>VLOOKUP($A272,'8.Non-elective admissions - CCG'!$D$5:$N$215,5,0)*$H272</f>
        <v>5988.2989820162638</v>
      </c>
      <c r="M272" s="384">
        <f>VLOOKUP($A272,'8.Non-elective admissions - CCG'!$D$5:$N$215,6,0)*$H272</f>
        <v>6711.5511535217338</v>
      </c>
      <c r="N272" s="384">
        <f>VLOOKUP($A272,'8.Non-elective admissions - CCG'!$D$5:$N$215,7,0)*$H272</f>
        <v>5689.867923147588</v>
      </c>
      <c r="O272" s="384">
        <f>VLOOKUP($A272,'8.Non-elective admissions - CCG'!$D$5:$N$215,8,0)*$H272</f>
        <v>5568.0608670363172</v>
      </c>
      <c r="P272" s="384">
        <f>VLOOKUP($A272,'8.Non-elective admissions - CCG'!$D$5:$N$215,9,0)*$H272</f>
        <v>5767.2151706196355</v>
      </c>
      <c r="Q272" s="384">
        <f>VLOOKUP($A272,'8.Non-elective admissions - CCG'!$D$5:$N$215,10,0)*$H272</f>
        <v>5291.0601712902635</v>
      </c>
      <c r="R272" s="384">
        <f>VLOOKUP($A272,'8.Non-elective admissions - CCG'!$D$5:$Q$215,11,0)*$H272</f>
        <v>5675.1872404795586</v>
      </c>
      <c r="S272" s="384">
        <f>VLOOKUP($A272,'8.Non-elective admissions - CCG'!$D$5:$Q$215,12,0)*$H272</f>
        <v>5552.1712148830302</v>
      </c>
      <c r="T272" s="384">
        <f>VLOOKUP($A272,'8.Non-elective admissions - CCG'!$D$5:$Q$215,13,0)*$H272</f>
        <v>5751.6245311422099</v>
      </c>
      <c r="U272" s="384">
        <f>VLOOKUP($A272,'8.Non-elective admissions - CCG'!$D$5:$Q$215,14,0)*$H272</f>
        <v>5281.323895723136</v>
      </c>
    </row>
    <row r="273" spans="1:21">
      <c r="A273" s="395" t="s">
        <v>229</v>
      </c>
      <c r="B273" s="395" t="s">
        <v>1204</v>
      </c>
      <c r="C273" s="395" t="s">
        <v>700</v>
      </c>
      <c r="D273" s="395" t="s">
        <v>209</v>
      </c>
      <c r="E273" s="537">
        <f>COUNTIF($D$5:D273,D273)</f>
        <v>4</v>
      </c>
      <c r="F273" s="537" t="str">
        <f t="shared" si="8"/>
        <v>Haringey4</v>
      </c>
      <c r="G273" s="541" t="str">
        <f t="shared" si="9"/>
        <v>NHS Enfield CCG</v>
      </c>
      <c r="H273" s="546">
        <v>1.2829428164860567E-2</v>
      </c>
      <c r="I273" s="546">
        <v>1.4610127733212101E-2</v>
      </c>
      <c r="J273" s="384">
        <f>VLOOKUP($A273,'8.Non-elective admissions - CCG'!$D$5:$N$215,3,0)*$H273</f>
        <v>75.488355322039567</v>
      </c>
      <c r="K273" s="384">
        <f>VLOOKUP($A273,'8.Non-elective admissions - CCG'!$D$5:$N$215,4,0)*$H273</f>
        <v>73.037934542551199</v>
      </c>
      <c r="L273" s="384">
        <f>VLOOKUP($A273,'8.Non-elective admissions - CCG'!$D$5:$N$215,5,0)*$H273</f>
        <v>80.517491162664911</v>
      </c>
      <c r="M273" s="384">
        <f>VLOOKUP($A273,'8.Non-elective admissions - CCG'!$D$5:$N$215,6,0)*$H273</f>
        <v>90.242197711629231</v>
      </c>
      <c r="N273" s="384">
        <f>VLOOKUP($A273,'8.Non-elective admissions - CCG'!$D$5:$N$215,7,0)*$H273</f>
        <v>76.504845799217676</v>
      </c>
      <c r="O273" s="384">
        <f>VLOOKUP($A273,'8.Non-elective admissions - CCG'!$D$5:$N$215,8,0)*$H273</f>
        <v>74.86705206289237</v>
      </c>
      <c r="P273" s="384">
        <f>VLOOKUP($A273,'8.Non-elective admissions - CCG'!$D$5:$N$215,9,0)*$H273</f>
        <v>77.544841686779407</v>
      </c>
      <c r="Q273" s="384">
        <f>VLOOKUP($A273,'8.Non-elective admissions - CCG'!$D$5:$N$215,10,0)*$H273</f>
        <v>71.142555150035264</v>
      </c>
      <c r="R273" s="384">
        <f>VLOOKUP($A273,'8.Non-elective admissions - CCG'!$D$5:$Q$215,11,0)*$H273</f>
        <v>76.307452225427383</v>
      </c>
      <c r="S273" s="384">
        <f>VLOOKUP($A273,'8.Non-elective admissions - CCG'!$D$5:$Q$215,12,0)*$H273</f>
        <v>74.653402923016031</v>
      </c>
      <c r="T273" s="384">
        <f>VLOOKUP($A273,'8.Non-elective admissions - CCG'!$D$5:$Q$215,13,0)*$H273</f>
        <v>77.3352130125743</v>
      </c>
      <c r="U273" s="384">
        <f>VLOOKUP($A273,'8.Non-elective admissions - CCG'!$D$5:$Q$215,14,0)*$H273</f>
        <v>71.01164310234229</v>
      </c>
    </row>
    <row r="274" spans="1:21">
      <c r="A274" s="395" t="s">
        <v>229</v>
      </c>
      <c r="B274" s="395" t="s">
        <v>1204</v>
      </c>
      <c r="C274" s="395" t="s">
        <v>705</v>
      </c>
      <c r="D274" s="395" t="s">
        <v>227</v>
      </c>
      <c r="E274" s="537">
        <f>COUNTIF($D$5:D274,D274)</f>
        <v>7</v>
      </c>
      <c r="F274" s="537" t="str">
        <f t="shared" si="8"/>
        <v>Hertfordshire7</v>
      </c>
      <c r="G274" s="541" t="str">
        <f t="shared" si="9"/>
        <v>NHS Enfield CCG</v>
      </c>
      <c r="H274" s="546">
        <v>2.3952558480944196E-3</v>
      </c>
      <c r="I274" s="546">
        <v>0</v>
      </c>
      <c r="J274" s="384">
        <f>VLOOKUP($A274,'8.Non-elective admissions - CCG'!$D$5:$N$215,3,0)*$H274</f>
        <v>14.093685410187565</v>
      </c>
      <c r="K274" s="384">
        <f>VLOOKUP($A274,'8.Non-elective admissions - CCG'!$D$5:$N$215,4,0)*$H274</f>
        <v>13.63619154320153</v>
      </c>
      <c r="L274" s="384">
        <f>VLOOKUP($A274,'8.Non-elective admissions - CCG'!$D$5:$N$215,5,0)*$H274</f>
        <v>15.032625702640576</v>
      </c>
      <c r="M274" s="384">
        <f>VLOOKUP($A274,'8.Non-elective admissions - CCG'!$D$5:$N$215,6,0)*$H274</f>
        <v>16.848229635496146</v>
      </c>
      <c r="N274" s="384">
        <f>VLOOKUP($A274,'8.Non-elective admissions - CCG'!$D$5:$N$215,7,0)*$H274</f>
        <v>14.283464309816299</v>
      </c>
      <c r="O274" s="384">
        <f>VLOOKUP($A274,'8.Non-elective admissions - CCG'!$D$5:$N$215,8,0)*$H274</f>
        <v>13.977688013749543</v>
      </c>
      <c r="P274" s="384">
        <f>VLOOKUP($A274,'8.Non-elective admissions - CCG'!$D$5:$N$215,9,0)*$H274</f>
        <v>14.477631672512894</v>
      </c>
      <c r="Q274" s="384">
        <f>VLOOKUP($A274,'8.Non-elective admissions - CCG'!$D$5:$N$215,10,0)*$H274</f>
        <v>13.282323972804576</v>
      </c>
      <c r="R274" s="384">
        <f>VLOOKUP($A274,'8.Non-elective admissions - CCG'!$D$5:$Q$215,11,0)*$H274</f>
        <v>14.246610904822578</v>
      </c>
      <c r="S274" s="384">
        <f>VLOOKUP($A274,'8.Non-elective admissions - CCG'!$D$5:$Q$215,12,0)*$H274</f>
        <v>13.937799692527962</v>
      </c>
      <c r="T274" s="384">
        <f>VLOOKUP($A274,'8.Non-elective admissions - CCG'!$D$5:$Q$215,13,0)*$H274</f>
        <v>14.438493972736582</v>
      </c>
      <c r="U274" s="384">
        <f>VLOOKUP($A274,'8.Non-elective admissions - CCG'!$D$5:$Q$215,14,0)*$H274</f>
        <v>13.257882677074697</v>
      </c>
    </row>
    <row r="275" spans="1:21">
      <c r="A275" s="395" t="s">
        <v>233</v>
      </c>
      <c r="B275" s="395" t="s">
        <v>232</v>
      </c>
      <c r="C275" s="395" t="s">
        <v>683</v>
      </c>
      <c r="D275" s="395" t="s">
        <v>146</v>
      </c>
      <c r="E275" s="537">
        <f>COUNTIF($D$5:D275,D275)</f>
        <v>4</v>
      </c>
      <c r="F275" s="537" t="str">
        <f t="shared" si="8"/>
        <v>Derbyshire4</v>
      </c>
      <c r="G275" s="541" t="str">
        <f t="shared" si="9"/>
        <v>NHS Erewash CCG</v>
      </c>
      <c r="H275" s="546">
        <v>0.91816020012147292</v>
      </c>
      <c r="I275" s="546">
        <v>0.11300871724697177</v>
      </c>
      <c r="J275" s="384">
        <f>VLOOKUP($A275,'8.Non-elective admissions - CCG'!$D$5:$N$215,3,0)*$H275</f>
        <v>2304.582102304897</v>
      </c>
      <c r="K275" s="384">
        <f>VLOOKUP($A275,'8.Non-elective admissions - CCG'!$D$5:$N$215,4,0)*$H275</f>
        <v>2276.1191361011315</v>
      </c>
      <c r="L275" s="384">
        <f>VLOOKUP($A275,'8.Non-elective admissions - CCG'!$D$5:$N$215,5,0)*$H275</f>
        <v>2342.2266705098773</v>
      </c>
      <c r="M275" s="384">
        <f>VLOOKUP($A275,'8.Non-elective admissions - CCG'!$D$5:$N$215,6,0)*$H275</f>
        <v>2109.0139796790231</v>
      </c>
      <c r="N275" s="384">
        <f>VLOOKUP($A275,'8.Non-elective admissions - CCG'!$D$5:$N$215,7,0)*$H275</f>
        <v>2274.1301343766208</v>
      </c>
      <c r="O275" s="384">
        <f>VLOOKUP($A275,'8.Non-elective admissions - CCG'!$D$5:$N$215,8,0)*$H275</f>
        <v>2269.8661608343054</v>
      </c>
      <c r="P275" s="384">
        <f>VLOOKUP($A275,'8.Non-elective admissions - CCG'!$D$5:$N$215,9,0)*$H275</f>
        <v>2362.8902281343167</v>
      </c>
      <c r="Q275" s="384">
        <f>VLOOKUP($A275,'8.Non-elective admissions - CCG'!$D$5:$N$215,10,0)*$H275</f>
        <v>2194.5768697767858</v>
      </c>
      <c r="R275" s="384">
        <f>VLOOKUP($A275,'8.Non-elective admissions - CCG'!$D$5:$Q$215,11,0)*$H275</f>
        <v>2216.5492546052192</v>
      </c>
      <c r="S275" s="384">
        <f>VLOOKUP($A275,'8.Non-elective admissions - CCG'!$D$5:$Q$215,12,0)*$H275</f>
        <v>2212.2000015942972</v>
      </c>
      <c r="T275" s="384">
        <f>VLOOKUP($A275,'8.Non-elective admissions - CCG'!$D$5:$Q$215,13,0)*$H275</f>
        <v>2307.0845502349107</v>
      </c>
      <c r="U275" s="384">
        <f>VLOOKUP($A275,'8.Non-elective admissions - CCG'!$D$5:$Q$215,14,0)*$H275</f>
        <v>2135.4049246996879</v>
      </c>
    </row>
    <row r="276" spans="1:21">
      <c r="A276" s="395" t="s">
        <v>233</v>
      </c>
      <c r="B276" s="395" t="s">
        <v>232</v>
      </c>
      <c r="C276" s="395" t="s">
        <v>742</v>
      </c>
      <c r="D276" s="395" t="s">
        <v>342</v>
      </c>
      <c r="E276" s="537">
        <f>COUNTIF($D$5:D276,D276)</f>
        <v>4</v>
      </c>
      <c r="F276" s="537" t="str">
        <f t="shared" si="8"/>
        <v>Nottinghamshire4</v>
      </c>
      <c r="G276" s="541" t="str">
        <f t="shared" si="9"/>
        <v>NHS Erewash CCG</v>
      </c>
      <c r="H276" s="546">
        <v>8.1839799878527089E-2</v>
      </c>
      <c r="I276" s="546">
        <v>9.7127589000025657E-3</v>
      </c>
      <c r="J276" s="384">
        <f>VLOOKUP($A276,'8.Non-elective admissions - CCG'!$D$5:$N$215,3,0)*$H276</f>
        <v>205.41789769510299</v>
      </c>
      <c r="K276" s="384">
        <f>VLOOKUP($A276,'8.Non-elective admissions - CCG'!$D$5:$N$215,4,0)*$H276</f>
        <v>202.88086389886865</v>
      </c>
      <c r="L276" s="384">
        <f>VLOOKUP($A276,'8.Non-elective admissions - CCG'!$D$5:$N$215,5,0)*$H276</f>
        <v>208.77332949012259</v>
      </c>
      <c r="M276" s="384">
        <f>VLOOKUP($A276,'8.Non-elective admissions - CCG'!$D$5:$N$215,6,0)*$H276</f>
        <v>187.98602032097673</v>
      </c>
      <c r="N276" s="384">
        <f>VLOOKUP($A276,'8.Non-elective admissions - CCG'!$D$5:$N$215,7,0)*$H276</f>
        <v>202.70357511737885</v>
      </c>
      <c r="O276" s="384">
        <f>VLOOKUP($A276,'8.Non-elective admissions - CCG'!$D$5:$N$215,8,0)*$H276</f>
        <v>202.32350773769471</v>
      </c>
      <c r="P276" s="384">
        <f>VLOOKUP($A276,'8.Non-elective admissions - CCG'!$D$5:$N$215,9,0)*$H276</f>
        <v>210.61516648168333</v>
      </c>
      <c r="Q276" s="384">
        <f>VLOOKUP($A276,'8.Non-elective admissions - CCG'!$D$5:$N$215,10,0)*$H276</f>
        <v>195.61263036321429</v>
      </c>
      <c r="R276" s="384">
        <f>VLOOKUP($A276,'8.Non-elective admissions - CCG'!$D$5:$Q$215,11,0)*$H276</f>
        <v>197.57112908378079</v>
      </c>
      <c r="S276" s="384">
        <f>VLOOKUP($A276,'8.Non-elective admissions - CCG'!$D$5:$Q$215,12,0)*$H276</f>
        <v>197.18346035670262</v>
      </c>
      <c r="T276" s="384">
        <f>VLOOKUP($A276,'8.Non-elective admissions - CCG'!$D$5:$Q$215,13,0)*$H276</f>
        <v>205.64095227508983</v>
      </c>
      <c r="U276" s="384">
        <f>VLOOKUP($A276,'8.Non-elective admissions - CCG'!$D$5:$Q$215,14,0)*$H276</f>
        <v>190.33836543331188</v>
      </c>
    </row>
    <row r="277" spans="1:21">
      <c r="A277" s="395" t="s">
        <v>236</v>
      </c>
      <c r="B277" s="395" t="s">
        <v>235</v>
      </c>
      <c r="C277" s="395" t="s">
        <v>699</v>
      </c>
      <c r="D277" s="395" t="s">
        <v>205</v>
      </c>
      <c r="E277" s="537">
        <f>COUNTIF($D$5:D277,D277)</f>
        <v>4</v>
      </c>
      <c r="F277" s="537" t="str">
        <f t="shared" si="8"/>
        <v>Hampshire4</v>
      </c>
      <c r="G277" s="541" t="str">
        <f t="shared" si="9"/>
        <v>NHS Fareham and Gosport CCG</v>
      </c>
      <c r="H277" s="546">
        <v>0.98667779819689572</v>
      </c>
      <c r="I277" s="546">
        <v>0.14275434530109427</v>
      </c>
      <c r="J277" s="384">
        <f>VLOOKUP($A277,'8.Non-elective admissions - CCG'!$D$5:$N$215,3,0)*$H277</f>
        <v>4276.2615773853458</v>
      </c>
      <c r="K277" s="384">
        <f>VLOOKUP($A277,'8.Non-elective admissions - CCG'!$D$5:$N$215,4,0)*$H277</f>
        <v>4244.6878878430452</v>
      </c>
      <c r="L277" s="384">
        <f>VLOOKUP($A277,'8.Non-elective admissions - CCG'!$D$5:$N$215,5,0)*$H277</f>
        <v>4598.9052173957307</v>
      </c>
      <c r="M277" s="384">
        <f>VLOOKUP($A277,'8.Non-elective admissions - CCG'!$D$5:$N$215,6,0)*$H277</f>
        <v>4327.5688228915842</v>
      </c>
      <c r="N277" s="384">
        <f>VLOOKUP($A277,'8.Non-elective admissions - CCG'!$D$5:$N$215,7,0)*$H277</f>
        <v>4214.1008760989416</v>
      </c>
      <c r="O277" s="384">
        <f>VLOOKUP($A277,'8.Non-elective admissions - CCG'!$D$5:$N$215,8,0)*$H277</f>
        <v>4147.9934636197495</v>
      </c>
      <c r="P277" s="384">
        <f>VLOOKUP($A277,'8.Non-elective admissions - CCG'!$D$5:$N$215,9,0)*$H277</f>
        <v>4273.3015439907549</v>
      </c>
      <c r="Q277" s="384">
        <f>VLOOKUP($A277,'8.Non-elective admissions - CCG'!$D$5:$N$215,10,0)*$H277</f>
        <v>4249.6212768340301</v>
      </c>
      <c r="R277" s="384">
        <f>VLOOKUP($A277,'8.Non-elective admissions - CCG'!$D$5:$Q$215,11,0)*$H277</f>
        <v>4067.085884167604</v>
      </c>
      <c r="S277" s="384">
        <f>VLOOKUP($A277,'8.Non-elective admissions - CCG'!$D$5:$Q$215,12,0)*$H277</f>
        <v>4000.9784716884124</v>
      </c>
      <c r="T277" s="384">
        <f>VLOOKUP($A277,'8.Non-elective admissions - CCG'!$D$5:$Q$215,13,0)*$H277</f>
        <v>4271.3281883943619</v>
      </c>
      <c r="U277" s="384">
        <f>VLOOKUP($A277,'8.Non-elective admissions - CCG'!$D$5:$Q$215,14,0)*$H277</f>
        <v>4286.1283553673147</v>
      </c>
    </row>
    <row r="278" spans="1:21">
      <c r="A278" s="395" t="s">
        <v>236</v>
      </c>
      <c r="B278" s="395" t="s">
        <v>235</v>
      </c>
      <c r="C278" s="395" t="s">
        <v>747</v>
      </c>
      <c r="D278" s="395" t="s">
        <v>357</v>
      </c>
      <c r="E278" s="537">
        <f>COUNTIF($D$5:D278,D278)</f>
        <v>1</v>
      </c>
      <c r="F278" s="537" t="str">
        <f t="shared" si="8"/>
        <v>Portsmouth1</v>
      </c>
      <c r="G278" s="541" t="str">
        <f t="shared" si="9"/>
        <v>NHS Fareham and Gosport CCG</v>
      </c>
      <c r="H278" s="546">
        <v>1.3322201803104271E-2</v>
      </c>
      <c r="I278" s="546">
        <v>1.267269390383861E-2</v>
      </c>
      <c r="J278" s="384">
        <f>VLOOKUP($A278,'8.Non-elective admissions - CCG'!$D$5:$N$215,3,0)*$H278</f>
        <v>57.738422614653913</v>
      </c>
      <c r="K278" s="384">
        <f>VLOOKUP($A278,'8.Non-elective admissions - CCG'!$D$5:$N$215,4,0)*$H278</f>
        <v>57.312112156954576</v>
      </c>
      <c r="L278" s="384">
        <f>VLOOKUP($A278,'8.Non-elective admissions - CCG'!$D$5:$N$215,5,0)*$H278</f>
        <v>62.094782604269007</v>
      </c>
      <c r="M278" s="384">
        <f>VLOOKUP($A278,'8.Non-elective admissions - CCG'!$D$5:$N$215,6,0)*$H278</f>
        <v>58.431177108415334</v>
      </c>
      <c r="N278" s="384">
        <f>VLOOKUP($A278,'8.Non-elective admissions - CCG'!$D$5:$N$215,7,0)*$H278</f>
        <v>56.899123901058339</v>
      </c>
      <c r="O278" s="384">
        <f>VLOOKUP($A278,'8.Non-elective admissions - CCG'!$D$5:$N$215,8,0)*$H278</f>
        <v>56.006536380250353</v>
      </c>
      <c r="P278" s="384">
        <f>VLOOKUP($A278,'8.Non-elective admissions - CCG'!$D$5:$N$215,9,0)*$H278</f>
        <v>57.698456009244602</v>
      </c>
      <c r="Q278" s="384">
        <f>VLOOKUP($A278,'8.Non-elective admissions - CCG'!$D$5:$N$215,10,0)*$H278</f>
        <v>57.378723165970094</v>
      </c>
      <c r="R278" s="384">
        <f>VLOOKUP($A278,'8.Non-elective admissions - CCG'!$D$5:$Q$215,11,0)*$H278</f>
        <v>54.914115832395808</v>
      </c>
      <c r="S278" s="384">
        <f>VLOOKUP($A278,'8.Non-elective admissions - CCG'!$D$5:$Q$215,12,0)*$H278</f>
        <v>54.021528311587822</v>
      </c>
      <c r="T278" s="384">
        <f>VLOOKUP($A278,'8.Non-elective admissions - CCG'!$D$5:$Q$215,13,0)*$H278</f>
        <v>57.671811605638389</v>
      </c>
      <c r="U278" s="384">
        <f>VLOOKUP($A278,'8.Non-elective admissions - CCG'!$D$5:$Q$215,14,0)*$H278</f>
        <v>57.871644632684955</v>
      </c>
    </row>
    <row r="279" spans="1:21">
      <c r="A279" s="395" t="s">
        <v>240</v>
      </c>
      <c r="B279" s="395" t="s">
        <v>239</v>
      </c>
      <c r="C279" s="395" t="s">
        <v>658</v>
      </c>
      <c r="D279" s="395" t="s">
        <v>52</v>
      </c>
      <c r="E279" s="537">
        <f>COUNTIF($D$5:D279,D279)</f>
        <v>2</v>
      </c>
      <c r="F279" s="537" t="str">
        <f t="shared" si="8"/>
        <v>Blackpool2</v>
      </c>
      <c r="G279" s="541" t="str">
        <f t="shared" si="9"/>
        <v>NHS Fylde &amp; Wyre CCG</v>
      </c>
      <c r="H279" s="546">
        <v>2.6412159961717651E-2</v>
      </c>
      <c r="I279" s="546">
        <v>2.5879977858096447E-2</v>
      </c>
      <c r="J279" s="384">
        <f>VLOOKUP($A279,'8.Non-elective admissions - CCG'!$D$5:$N$215,3,0)*$H279</f>
        <v>102.87536305089026</v>
      </c>
      <c r="K279" s="384">
        <f>VLOOKUP($A279,'8.Non-elective admissions - CCG'!$D$5:$N$215,4,0)*$H279</f>
        <v>97.513694578661571</v>
      </c>
      <c r="L279" s="384">
        <f>VLOOKUP($A279,'8.Non-elective admissions - CCG'!$D$5:$N$215,5,0)*$H279</f>
        <v>100.89445105376143</v>
      </c>
      <c r="M279" s="384">
        <f>VLOOKUP($A279,'8.Non-elective admissions - CCG'!$D$5:$N$215,6,0)*$H279</f>
        <v>105.35810608729172</v>
      </c>
      <c r="N279" s="384">
        <f>VLOOKUP($A279,'8.Non-elective admissions - CCG'!$D$5:$N$215,7,0)*$H279</f>
        <v>104.09032240912926</v>
      </c>
      <c r="O279" s="384">
        <f>VLOOKUP($A279,'8.Non-elective admissions - CCG'!$D$5:$N$215,8,0)*$H279</f>
        <v>96.272323060460835</v>
      </c>
      <c r="P279" s="384">
        <f>VLOOKUP($A279,'8.Non-elective admissions - CCG'!$D$5:$N$215,9,0)*$H279</f>
        <v>99.521018735752108</v>
      </c>
      <c r="Q279" s="384">
        <f>VLOOKUP($A279,'8.Non-elective admissions - CCG'!$D$5:$N$215,10,0)*$H279</f>
        <v>103.82620080951209</v>
      </c>
      <c r="R279" s="384">
        <f>VLOOKUP($A279,'8.Non-elective admissions - CCG'!$D$5:$Q$215,11,0)*$H279</f>
        <v>102.3471198516559</v>
      </c>
      <c r="S279" s="384">
        <f>VLOOKUP($A279,'8.Non-elective admissions - CCG'!$D$5:$Q$215,12,0)*$H279</f>
        <v>94.634769142834344</v>
      </c>
      <c r="T279" s="384">
        <f>VLOOKUP($A279,'8.Non-elective admissions - CCG'!$D$5:$Q$215,13,0)*$H279</f>
        <v>97.830640498202186</v>
      </c>
      <c r="U279" s="384">
        <f>VLOOKUP($A279,'8.Non-elective admissions - CCG'!$D$5:$Q$215,14,0)*$H279</f>
        <v>102.056586092077</v>
      </c>
    </row>
    <row r="280" spans="1:21">
      <c r="A280" s="395" t="s">
        <v>240</v>
      </c>
      <c r="B280" s="395" t="s">
        <v>239</v>
      </c>
      <c r="C280" s="395" t="s">
        <v>718</v>
      </c>
      <c r="D280" s="395" t="s">
        <v>270</v>
      </c>
      <c r="E280" s="537">
        <f>COUNTIF($D$5:D280,D280)</f>
        <v>9</v>
      </c>
      <c r="F280" s="537" t="str">
        <f t="shared" si="8"/>
        <v>Lancashire9</v>
      </c>
      <c r="G280" s="541" t="str">
        <f t="shared" si="9"/>
        <v>NHS Fylde &amp; Wyre CCG</v>
      </c>
      <c r="H280" s="546">
        <v>0.97358784003828225</v>
      </c>
      <c r="I280" s="546">
        <v>0.11944812515034268</v>
      </c>
      <c r="J280" s="384">
        <f>VLOOKUP($A280,'8.Non-elective admissions - CCG'!$D$5:$N$215,3,0)*$H280</f>
        <v>3792.1246369491096</v>
      </c>
      <c r="K280" s="384">
        <f>VLOOKUP($A280,'8.Non-elective admissions - CCG'!$D$5:$N$215,4,0)*$H280</f>
        <v>3594.4863054213379</v>
      </c>
      <c r="L280" s="384">
        <f>VLOOKUP($A280,'8.Non-elective admissions - CCG'!$D$5:$N$215,5,0)*$H280</f>
        <v>3719.1055489462383</v>
      </c>
      <c r="M280" s="384">
        <f>VLOOKUP($A280,'8.Non-elective admissions - CCG'!$D$5:$N$215,6,0)*$H280</f>
        <v>3883.6418939127079</v>
      </c>
      <c r="N280" s="384">
        <f>VLOOKUP($A280,'8.Non-elective admissions - CCG'!$D$5:$N$215,7,0)*$H280</f>
        <v>3836.9096775908702</v>
      </c>
      <c r="O280" s="384">
        <f>VLOOKUP($A280,'8.Non-elective admissions - CCG'!$D$5:$N$215,8,0)*$H280</f>
        <v>3548.7276769395389</v>
      </c>
      <c r="P280" s="384">
        <f>VLOOKUP($A280,'8.Non-elective admissions - CCG'!$D$5:$N$215,9,0)*$H280</f>
        <v>3668.4789812642475</v>
      </c>
      <c r="Q280" s="384">
        <f>VLOOKUP($A280,'8.Non-elective admissions - CCG'!$D$5:$N$215,10,0)*$H280</f>
        <v>3827.1737991904874</v>
      </c>
      <c r="R280" s="384">
        <f>VLOOKUP($A280,'8.Non-elective admissions - CCG'!$D$5:$Q$215,11,0)*$H280</f>
        <v>3772.6528801483437</v>
      </c>
      <c r="S280" s="384">
        <f>VLOOKUP($A280,'8.Non-elective admissions - CCG'!$D$5:$Q$215,12,0)*$H280</f>
        <v>3488.3652308571654</v>
      </c>
      <c r="T280" s="384">
        <f>VLOOKUP($A280,'8.Non-elective admissions - CCG'!$D$5:$Q$215,13,0)*$H280</f>
        <v>3606.1693595017973</v>
      </c>
      <c r="U280" s="384">
        <f>VLOOKUP($A280,'8.Non-elective admissions - CCG'!$D$5:$Q$215,14,0)*$H280</f>
        <v>3761.9434139079226</v>
      </c>
    </row>
    <row r="281" spans="1:21">
      <c r="A281" s="395" t="s">
        <v>243</v>
      </c>
      <c r="B281" s="395" t="s">
        <v>242</v>
      </c>
      <c r="C281" s="395" t="s">
        <v>677</v>
      </c>
      <c r="D281" s="395" t="s">
        <v>124</v>
      </c>
      <c r="E281" s="537">
        <f>COUNTIF($D$5:D281,D281)</f>
        <v>2</v>
      </c>
      <c r="F281" s="537" t="str">
        <f t="shared" si="8"/>
        <v>County Durham2</v>
      </c>
      <c r="G281" s="541" t="str">
        <f t="shared" si="9"/>
        <v>NHS Gateshead CCG</v>
      </c>
      <c r="H281" s="546">
        <v>1.8197666491361349E-2</v>
      </c>
      <c r="I281" s="546">
        <v>7.0433153528065831E-3</v>
      </c>
      <c r="J281" s="384">
        <f>VLOOKUP($A281,'8.Non-elective admissions - CCG'!$D$5:$N$215,3,0)*$H281</f>
        <v>115.15483355733461</v>
      </c>
      <c r="K281" s="384">
        <f>VLOOKUP($A281,'8.Non-elective admissions - CCG'!$D$5:$N$215,4,0)*$H281</f>
        <v>114.60890356259377</v>
      </c>
      <c r="L281" s="384">
        <f>VLOOKUP($A281,'8.Non-elective admissions - CCG'!$D$5:$N$215,5,0)*$H281</f>
        <v>119.88622684508856</v>
      </c>
      <c r="M281" s="384">
        <f>VLOOKUP($A281,'8.Non-elective admissions - CCG'!$D$5:$N$215,6,0)*$H281</f>
        <v>127.18349110812447</v>
      </c>
      <c r="N281" s="384">
        <f>VLOOKUP($A281,'8.Non-elective admissions - CCG'!$D$5:$N$215,7,0)*$H281</f>
        <v>115.02744989189509</v>
      </c>
      <c r="O281" s="384">
        <f>VLOOKUP($A281,'8.Non-elective admissions - CCG'!$D$5:$N$215,8,0)*$H281</f>
        <v>112.62535791503538</v>
      </c>
      <c r="P281" s="384">
        <f>VLOOKUP($A281,'8.Non-elective admissions - CCG'!$D$5:$N$215,9,0)*$H281</f>
        <v>117.64791386665112</v>
      </c>
      <c r="Q281" s="384">
        <f>VLOOKUP($A281,'8.Non-elective admissions - CCG'!$D$5:$N$215,10,0)*$H281</f>
        <v>117.52053020121159</v>
      </c>
      <c r="R281" s="384">
        <f>VLOOKUP($A281,'8.Non-elective admissions - CCG'!$D$5:$Q$215,11,0)*$H281</f>
        <v>112.73454391398356</v>
      </c>
      <c r="S281" s="384">
        <f>VLOOKUP($A281,'8.Non-elective admissions - CCG'!$D$5:$Q$215,12,0)*$H281</f>
        <v>110.29605660414113</v>
      </c>
      <c r="T281" s="384">
        <f>VLOOKUP($A281,'8.Non-elective admissions - CCG'!$D$5:$Q$215,13,0)*$H281</f>
        <v>115.33681022224823</v>
      </c>
      <c r="U281" s="384">
        <f>VLOOKUP($A281,'8.Non-elective admissions - CCG'!$D$5:$Q$215,14,0)*$H281</f>
        <v>115.19122889031733</v>
      </c>
    </row>
    <row r="282" spans="1:21">
      <c r="A282" s="395" t="s">
        <v>243</v>
      </c>
      <c r="B282" s="395" t="s">
        <v>242</v>
      </c>
      <c r="C282" s="395" t="s">
        <v>693</v>
      </c>
      <c r="D282" s="395" t="s">
        <v>184</v>
      </c>
      <c r="E282" s="537">
        <f>COUNTIF($D$5:D282,D282)</f>
        <v>1</v>
      </c>
      <c r="F282" s="537" t="str">
        <f t="shared" si="8"/>
        <v>Gateshead1</v>
      </c>
      <c r="G282" s="541" t="str">
        <f t="shared" si="9"/>
        <v>NHS Gateshead CCG</v>
      </c>
      <c r="H282" s="546">
        <v>0.96957478719881596</v>
      </c>
      <c r="I282" s="546">
        <v>0.9801178456979428</v>
      </c>
      <c r="J282" s="384">
        <f>VLOOKUP($A282,'8.Non-elective admissions - CCG'!$D$5:$N$215,3,0)*$H282</f>
        <v>6135.469253394107</v>
      </c>
      <c r="K282" s="384">
        <f>VLOOKUP($A282,'8.Non-elective admissions - CCG'!$D$5:$N$215,4,0)*$H282</f>
        <v>6106.3820097781427</v>
      </c>
      <c r="L282" s="384">
        <f>VLOOKUP($A282,'8.Non-elective admissions - CCG'!$D$5:$N$215,5,0)*$H282</f>
        <v>6387.5586980657999</v>
      </c>
      <c r="M282" s="384">
        <f>VLOOKUP($A282,'8.Non-elective admissions - CCG'!$D$5:$N$215,6,0)*$H282</f>
        <v>6776.358187732525</v>
      </c>
      <c r="N282" s="384">
        <f>VLOOKUP($A282,'8.Non-elective admissions - CCG'!$D$5:$N$215,7,0)*$H282</f>
        <v>6128.682229883716</v>
      </c>
      <c r="O282" s="384">
        <f>VLOOKUP($A282,'8.Non-elective admissions - CCG'!$D$5:$N$215,8,0)*$H282</f>
        <v>6000.6983579734724</v>
      </c>
      <c r="P282" s="384">
        <f>VLOOKUP($A282,'8.Non-elective admissions - CCG'!$D$5:$N$215,9,0)*$H282</f>
        <v>6268.3009992403449</v>
      </c>
      <c r="Q282" s="384">
        <f>VLOOKUP($A282,'8.Non-elective admissions - CCG'!$D$5:$N$215,10,0)*$H282</f>
        <v>6261.513975729953</v>
      </c>
      <c r="R282" s="384">
        <f>VLOOKUP($A282,'8.Non-elective admissions - CCG'!$D$5:$Q$215,11,0)*$H282</f>
        <v>6006.5158066966651</v>
      </c>
      <c r="S282" s="384">
        <f>VLOOKUP($A282,'8.Non-elective admissions - CCG'!$D$5:$Q$215,12,0)*$H282</f>
        <v>5876.592785212024</v>
      </c>
      <c r="T282" s="384">
        <f>VLOOKUP($A282,'8.Non-elective admissions - CCG'!$D$5:$Q$215,13,0)*$H282</f>
        <v>6145.1650012660957</v>
      </c>
      <c r="U282" s="384">
        <f>VLOOKUP($A282,'8.Non-elective admissions - CCG'!$D$5:$Q$215,14,0)*$H282</f>
        <v>6137.4084029685046</v>
      </c>
    </row>
    <row r="283" spans="1:21">
      <c r="A283" s="395" t="s">
        <v>243</v>
      </c>
      <c r="B283" s="395" t="s">
        <v>242</v>
      </c>
      <c r="C283" s="395" t="s">
        <v>764</v>
      </c>
      <c r="D283" s="395" t="s">
        <v>408</v>
      </c>
      <c r="E283" s="537">
        <f>COUNTIF($D$5:D283,D283)</f>
        <v>1</v>
      </c>
      <c r="F283" s="537" t="str">
        <f t="shared" si="8"/>
        <v>South Tyneside1</v>
      </c>
      <c r="G283" s="541" t="str">
        <f t="shared" si="9"/>
        <v>NHS Gateshead CCG</v>
      </c>
      <c r="H283" s="546">
        <v>9.8852724049942561E-4</v>
      </c>
      <c r="I283" s="546">
        <v>1.3111831651832426E-3</v>
      </c>
      <c r="J283" s="384">
        <f>VLOOKUP($A283,'8.Non-elective admissions - CCG'!$D$5:$N$215,3,0)*$H283</f>
        <v>6.2554003778803651</v>
      </c>
      <c r="K283" s="384">
        <f>VLOOKUP($A283,'8.Non-elective admissions - CCG'!$D$5:$N$215,4,0)*$H283</f>
        <v>6.2257445606653823</v>
      </c>
      <c r="L283" s="384">
        <f>VLOOKUP($A283,'8.Non-elective admissions - CCG'!$D$5:$N$215,5,0)*$H283</f>
        <v>6.5124174604102159</v>
      </c>
      <c r="M283" s="384">
        <f>VLOOKUP($A283,'8.Non-elective admissions - CCG'!$D$5:$N$215,6,0)*$H283</f>
        <v>6.908816883850486</v>
      </c>
      <c r="N283" s="384">
        <f>VLOOKUP($A283,'8.Non-elective admissions - CCG'!$D$5:$N$215,7,0)*$H283</f>
        <v>6.248480687196869</v>
      </c>
      <c r="O283" s="384">
        <f>VLOOKUP($A283,'8.Non-elective admissions - CCG'!$D$5:$N$215,8,0)*$H283</f>
        <v>6.1179950914509451</v>
      </c>
      <c r="P283" s="384">
        <f>VLOOKUP($A283,'8.Non-elective admissions - CCG'!$D$5:$N$215,9,0)*$H283</f>
        <v>6.3908286098287865</v>
      </c>
      <c r="Q283" s="384">
        <f>VLOOKUP($A283,'8.Non-elective admissions - CCG'!$D$5:$N$215,10,0)*$H283</f>
        <v>6.3839089191452905</v>
      </c>
      <c r="R283" s="384">
        <f>VLOOKUP($A283,'8.Non-elective admissions - CCG'!$D$5:$Q$215,11,0)*$H283</f>
        <v>6.1239262548939415</v>
      </c>
      <c r="S283" s="384">
        <f>VLOOKUP($A283,'8.Non-elective admissions - CCG'!$D$5:$Q$215,12,0)*$H283</f>
        <v>5.9914636046670182</v>
      </c>
      <c r="T283" s="384">
        <f>VLOOKUP($A283,'8.Non-elective admissions - CCG'!$D$5:$Q$215,13,0)*$H283</f>
        <v>6.2652856502853593</v>
      </c>
      <c r="U283" s="384">
        <f>VLOOKUP($A283,'8.Non-elective admissions - CCG'!$D$5:$Q$215,14,0)*$H283</f>
        <v>6.2573774323613645</v>
      </c>
    </row>
    <row r="284" spans="1:21">
      <c r="A284" s="395" t="s">
        <v>243</v>
      </c>
      <c r="B284" s="395" t="s">
        <v>242</v>
      </c>
      <c r="C284" s="395" t="s">
        <v>774</v>
      </c>
      <c r="D284" s="395" t="s">
        <v>438</v>
      </c>
      <c r="E284" s="537">
        <f>COUNTIF($D$5:D284,D284)</f>
        <v>2</v>
      </c>
      <c r="F284" s="537" t="str">
        <f t="shared" si="8"/>
        <v>Sunderland2</v>
      </c>
      <c r="G284" s="541" t="str">
        <f t="shared" si="9"/>
        <v>NHS Gateshead CCG</v>
      </c>
      <c r="H284" s="546">
        <v>1.123901906932352E-2</v>
      </c>
      <c r="I284" s="546">
        <v>7.9633163003012108E-3</v>
      </c>
      <c r="J284" s="384">
        <f>VLOOKUP($A284,'8.Non-elective admissions - CCG'!$D$5:$N$215,3,0)*$H284</f>
        <v>71.120512670679233</v>
      </c>
      <c r="K284" s="384">
        <f>VLOOKUP($A284,'8.Non-elective admissions - CCG'!$D$5:$N$215,4,0)*$H284</f>
        <v>70.783342098599533</v>
      </c>
      <c r="L284" s="384">
        <f>VLOOKUP($A284,'8.Non-elective admissions - CCG'!$D$5:$N$215,5,0)*$H284</f>
        <v>74.042657628703353</v>
      </c>
      <c r="M284" s="384">
        <f>VLOOKUP($A284,'8.Non-elective admissions - CCG'!$D$5:$N$215,6,0)*$H284</f>
        <v>78.549504275502088</v>
      </c>
      <c r="N284" s="384">
        <f>VLOOKUP($A284,'8.Non-elective admissions - CCG'!$D$5:$N$215,7,0)*$H284</f>
        <v>71.041839537193965</v>
      </c>
      <c r="O284" s="384">
        <f>VLOOKUP($A284,'8.Non-elective admissions - CCG'!$D$5:$N$215,8,0)*$H284</f>
        <v>69.558289020043262</v>
      </c>
      <c r="P284" s="384">
        <f>VLOOKUP($A284,'8.Non-elective admissions - CCG'!$D$5:$N$215,9,0)*$H284</f>
        <v>72.66025828317656</v>
      </c>
      <c r="Q284" s="384">
        <f>VLOOKUP($A284,'8.Non-elective admissions - CCG'!$D$5:$N$215,10,0)*$H284</f>
        <v>72.581585149691293</v>
      </c>
      <c r="R284" s="384">
        <f>VLOOKUP($A284,'8.Non-elective admissions - CCG'!$D$5:$Q$215,11,0)*$H284</f>
        <v>69.625723134459207</v>
      </c>
      <c r="S284" s="384">
        <f>VLOOKUP($A284,'8.Non-elective admissions - CCG'!$D$5:$Q$215,12,0)*$H284</f>
        <v>68.11969457916986</v>
      </c>
      <c r="T284" s="384">
        <f>VLOOKUP($A284,'8.Non-elective admissions - CCG'!$D$5:$Q$215,13,0)*$H284</f>
        <v>71.232902861372466</v>
      </c>
      <c r="U284" s="384">
        <f>VLOOKUP($A284,'8.Non-elective admissions - CCG'!$D$5:$Q$215,14,0)*$H284</f>
        <v>71.142990708817877</v>
      </c>
    </row>
    <row r="285" spans="1:21">
      <c r="A285" s="395" t="s">
        <v>247</v>
      </c>
      <c r="B285" s="395" t="s">
        <v>246</v>
      </c>
      <c r="C285" s="395" t="s">
        <v>694</v>
      </c>
      <c r="D285" s="395" t="s">
        <v>188</v>
      </c>
      <c r="E285" s="537">
        <f>COUNTIF($D$5:D285,D285)</f>
        <v>1</v>
      </c>
      <c r="F285" s="537" t="str">
        <f t="shared" si="8"/>
        <v>Gloucestershire1</v>
      </c>
      <c r="G285" s="541" t="str">
        <f t="shared" si="9"/>
        <v>NHS Gloucestershire CCG</v>
      </c>
      <c r="H285" s="546">
        <v>0.97540337381700948</v>
      </c>
      <c r="I285" s="546">
        <v>0.98620521616776424</v>
      </c>
      <c r="J285" s="384">
        <f>VLOOKUP($A285,'8.Non-elective admissions - CCG'!$D$5:$N$215,3,0)*$H285</f>
        <v>12789.489037488629</v>
      </c>
      <c r="K285" s="384">
        <f>VLOOKUP($A285,'8.Non-elective admissions - CCG'!$D$5:$N$215,4,0)*$H285</f>
        <v>13021.635040457077</v>
      </c>
      <c r="L285" s="384">
        <f>VLOOKUP($A285,'8.Non-elective admissions - CCG'!$D$5:$N$215,5,0)*$H285</f>
        <v>14030.202128983865</v>
      </c>
      <c r="M285" s="384">
        <f>VLOOKUP($A285,'8.Non-elective admissions - CCG'!$D$5:$N$215,6,0)*$H285</f>
        <v>13730.753293222042</v>
      </c>
      <c r="N285" s="384">
        <f>VLOOKUP($A285,'8.Non-elective admissions - CCG'!$D$5:$N$215,7,0)*$H285</f>
        <v>12343.729695654254</v>
      </c>
      <c r="O285" s="384">
        <f>VLOOKUP($A285,'8.Non-elective admissions - CCG'!$D$5:$N$215,8,0)*$H285</f>
        <v>12586.60513573469</v>
      </c>
      <c r="P285" s="384">
        <f>VLOOKUP($A285,'8.Non-elective admissions - CCG'!$D$5:$N$215,9,0)*$H285</f>
        <v>13663.450460428669</v>
      </c>
      <c r="Q285" s="384">
        <f>VLOOKUP($A285,'8.Non-elective admissions - CCG'!$D$5:$N$215,10,0)*$H285</f>
        <v>13788.302092277247</v>
      </c>
      <c r="R285" s="384">
        <f>VLOOKUP($A285,'8.Non-elective admissions - CCG'!$D$5:$Q$215,11,0)*$H285</f>
        <v>12098.903448826186</v>
      </c>
      <c r="S285" s="384">
        <f>VLOOKUP($A285,'8.Non-elective admissions - CCG'!$D$5:$Q$215,12,0)*$H285</f>
        <v>12343.729695654254</v>
      </c>
      <c r="T285" s="384">
        <f>VLOOKUP($A285,'8.Non-elective admissions - CCG'!$D$5:$Q$215,13,0)*$H285</f>
        <v>13447.88631481511</v>
      </c>
      <c r="U285" s="384">
        <f>VLOOKUP($A285,'8.Non-elective admissions - CCG'!$D$5:$Q$215,14,0)*$H285</f>
        <v>13574.688753411321</v>
      </c>
    </row>
    <row r="286" spans="1:21">
      <c r="A286" s="395" t="s">
        <v>247</v>
      </c>
      <c r="B286" s="395" t="s">
        <v>246</v>
      </c>
      <c r="C286" s="395" t="s">
        <v>704</v>
      </c>
      <c r="D286" s="395" t="s">
        <v>223</v>
      </c>
      <c r="E286" s="537">
        <f>COUNTIF($D$5:D286,D286)</f>
        <v>1</v>
      </c>
      <c r="F286" s="537" t="str">
        <f t="shared" si="8"/>
        <v>Herefordshire, County of1</v>
      </c>
      <c r="G286" s="541" t="str">
        <f t="shared" si="9"/>
        <v>NHS Gloucestershire CCG</v>
      </c>
      <c r="H286" s="546">
        <v>2.8439649531591627E-3</v>
      </c>
      <c r="I286" s="546">
        <v>9.7992312387614033E-3</v>
      </c>
      <c r="J286" s="384">
        <f>VLOOKUP($A286,'8.Non-elective admissions - CCG'!$D$5:$N$215,3,0)*$H286</f>
        <v>37.290068465822941</v>
      </c>
      <c r="K286" s="384">
        <f>VLOOKUP($A286,'8.Non-elective admissions - CCG'!$D$5:$N$215,4,0)*$H286</f>
        <v>37.96693212467482</v>
      </c>
      <c r="L286" s="384">
        <f>VLOOKUP($A286,'8.Non-elective admissions - CCG'!$D$5:$N$215,5,0)*$H286</f>
        <v>40.907591886241399</v>
      </c>
      <c r="M286" s="384">
        <f>VLOOKUP($A286,'8.Non-elective admissions - CCG'!$D$5:$N$215,6,0)*$H286</f>
        <v>40.034494645621535</v>
      </c>
      <c r="N286" s="384">
        <f>VLOOKUP($A286,'8.Non-elective admissions - CCG'!$D$5:$N$215,7,0)*$H286</f>
        <v>35.990376482229202</v>
      </c>
      <c r="O286" s="384">
        <f>VLOOKUP($A286,'8.Non-elective admissions - CCG'!$D$5:$N$215,8,0)*$H286</f>
        <v>36.698523755565837</v>
      </c>
      <c r="P286" s="384">
        <f>VLOOKUP($A286,'8.Non-elective admissions - CCG'!$D$5:$N$215,9,0)*$H286</f>
        <v>39.838261063853551</v>
      </c>
      <c r="Q286" s="384">
        <f>VLOOKUP($A286,'8.Non-elective admissions - CCG'!$D$5:$N$215,10,0)*$H286</f>
        <v>40.202288577857928</v>
      </c>
      <c r="R286" s="384">
        <f>VLOOKUP($A286,'8.Non-elective admissions - CCG'!$D$5:$Q$215,11,0)*$H286</f>
        <v>35.276541278986258</v>
      </c>
      <c r="S286" s="384">
        <f>VLOOKUP($A286,'8.Non-elective admissions - CCG'!$D$5:$Q$215,12,0)*$H286</f>
        <v>35.990376482229202</v>
      </c>
      <c r="T286" s="384">
        <f>VLOOKUP($A286,'8.Non-elective admissions - CCG'!$D$5:$Q$215,13,0)*$H286</f>
        <v>39.209744809205375</v>
      </c>
      <c r="U286" s="384">
        <f>VLOOKUP($A286,'8.Non-elective admissions - CCG'!$D$5:$Q$215,14,0)*$H286</f>
        <v>39.579460253116068</v>
      </c>
    </row>
    <row r="287" spans="1:21">
      <c r="A287" s="395" t="s">
        <v>247</v>
      </c>
      <c r="B287" s="395" t="s">
        <v>246</v>
      </c>
      <c r="C287" s="395" t="s">
        <v>744</v>
      </c>
      <c r="D287" s="395" t="s">
        <v>348</v>
      </c>
      <c r="E287" s="537">
        <f>COUNTIF($D$5:D287,D287)</f>
        <v>2</v>
      </c>
      <c r="F287" s="537" t="str">
        <f t="shared" si="8"/>
        <v>Oxfordshire2</v>
      </c>
      <c r="G287" s="541" t="str">
        <f t="shared" si="9"/>
        <v>NHS Gloucestershire CCG</v>
      </c>
      <c r="H287" s="546">
        <v>1.8959766354394419E-3</v>
      </c>
      <c r="I287" s="546">
        <v>1.6791187170854568E-3</v>
      </c>
      <c r="J287" s="384">
        <f>VLOOKUP($A287,'8.Non-elective admissions - CCG'!$D$5:$N$215,3,0)*$H287</f>
        <v>24.860045643881961</v>
      </c>
      <c r="K287" s="384">
        <f>VLOOKUP($A287,'8.Non-elective admissions - CCG'!$D$5:$N$215,4,0)*$H287</f>
        <v>25.311288083116551</v>
      </c>
      <c r="L287" s="384">
        <f>VLOOKUP($A287,'8.Non-elective admissions - CCG'!$D$5:$N$215,5,0)*$H287</f>
        <v>27.271727924160931</v>
      </c>
      <c r="M287" s="384">
        <f>VLOOKUP($A287,'8.Non-elective admissions - CCG'!$D$5:$N$215,6,0)*$H287</f>
        <v>26.689663097081024</v>
      </c>
      <c r="N287" s="384">
        <f>VLOOKUP($A287,'8.Non-elective admissions - CCG'!$D$5:$N$215,7,0)*$H287</f>
        <v>23.993584321486136</v>
      </c>
      <c r="O287" s="384">
        <f>VLOOKUP($A287,'8.Non-elective admissions - CCG'!$D$5:$N$215,8,0)*$H287</f>
        <v>24.465682503710557</v>
      </c>
      <c r="P287" s="384">
        <f>VLOOKUP($A287,'8.Non-elective admissions - CCG'!$D$5:$N$215,9,0)*$H287</f>
        <v>26.558840709235703</v>
      </c>
      <c r="Q287" s="384">
        <f>VLOOKUP($A287,'8.Non-elective admissions - CCG'!$D$5:$N$215,10,0)*$H287</f>
        <v>26.801525718571952</v>
      </c>
      <c r="R287" s="384">
        <f>VLOOKUP($A287,'8.Non-elective admissions - CCG'!$D$5:$Q$215,11,0)*$H287</f>
        <v>23.517694185990837</v>
      </c>
      <c r="S287" s="384">
        <f>VLOOKUP($A287,'8.Non-elective admissions - CCG'!$D$5:$Q$215,12,0)*$H287</f>
        <v>23.993584321486136</v>
      </c>
      <c r="T287" s="384">
        <f>VLOOKUP($A287,'8.Non-elective admissions - CCG'!$D$5:$Q$215,13,0)*$H287</f>
        <v>26.139829872803585</v>
      </c>
      <c r="U287" s="384">
        <f>VLOOKUP($A287,'8.Non-elective admissions - CCG'!$D$5:$Q$215,14,0)*$H287</f>
        <v>26.386306835410714</v>
      </c>
    </row>
    <row r="288" spans="1:21">
      <c r="A288" s="395" t="s">
        <v>247</v>
      </c>
      <c r="B288" s="395" t="s">
        <v>246</v>
      </c>
      <c r="C288" s="395" t="s">
        <v>763</v>
      </c>
      <c r="D288" s="395" t="s">
        <v>405</v>
      </c>
      <c r="E288" s="537">
        <f>COUNTIF($D$5:D288,D288)</f>
        <v>3</v>
      </c>
      <c r="F288" s="537" t="str">
        <f t="shared" si="8"/>
        <v>South Gloucestershire3</v>
      </c>
      <c r="G288" s="541" t="str">
        <f t="shared" si="9"/>
        <v>NHS Gloucestershire CCG</v>
      </c>
      <c r="H288" s="546">
        <v>8.2701607111508313E-3</v>
      </c>
      <c r="I288" s="546">
        <v>1.8683569131369069E-2</v>
      </c>
      <c r="J288" s="384">
        <f>VLOOKUP($A288,'8.Non-elective admissions - CCG'!$D$5:$N$215,3,0)*$H288</f>
        <v>108.4383472446097</v>
      </c>
      <c r="K288" s="384">
        <f>VLOOKUP($A288,'8.Non-elective admissions - CCG'!$D$5:$N$215,4,0)*$H288</f>
        <v>110.40664549386359</v>
      </c>
      <c r="L288" s="384">
        <f>VLOOKUP($A288,'8.Non-elective admissions - CCG'!$D$5:$N$215,5,0)*$H288</f>
        <v>118.95799166919356</v>
      </c>
      <c r="M288" s="384">
        <f>VLOOKUP($A288,'8.Non-elective admissions - CCG'!$D$5:$N$215,6,0)*$H288</f>
        <v>116.41905233087026</v>
      </c>
      <c r="N288" s="384">
        <f>VLOOKUP($A288,'8.Non-elective admissions - CCG'!$D$5:$N$215,7,0)*$H288</f>
        <v>104.65888379961378</v>
      </c>
      <c r="O288" s="384">
        <f>VLOOKUP($A288,'8.Non-elective admissions - CCG'!$D$5:$N$215,8,0)*$H288</f>
        <v>106.71815381669033</v>
      </c>
      <c r="P288" s="384">
        <f>VLOOKUP($A288,'8.Non-elective admissions - CCG'!$D$5:$N$215,9,0)*$H288</f>
        <v>115.84841124180085</v>
      </c>
      <c r="Q288" s="384">
        <f>VLOOKUP($A288,'8.Non-elective admissions - CCG'!$D$5:$N$215,10,0)*$H288</f>
        <v>116.90699181282815</v>
      </c>
      <c r="R288" s="384">
        <f>VLOOKUP($A288,'8.Non-elective admissions - CCG'!$D$5:$Q$215,11,0)*$H288</f>
        <v>102.58307346111491</v>
      </c>
      <c r="S288" s="384">
        <f>VLOOKUP($A288,'8.Non-elective admissions - CCG'!$D$5:$Q$215,12,0)*$H288</f>
        <v>104.65888379961378</v>
      </c>
      <c r="T288" s="384">
        <f>VLOOKUP($A288,'8.Non-elective admissions - CCG'!$D$5:$Q$215,13,0)*$H288</f>
        <v>114.02070572463651</v>
      </c>
      <c r="U288" s="384">
        <f>VLOOKUP($A288,'8.Non-elective admissions - CCG'!$D$5:$Q$215,14,0)*$H288</f>
        <v>115.09582661708612</v>
      </c>
    </row>
    <row r="289" spans="1:21">
      <c r="A289" s="395" t="s">
        <v>247</v>
      </c>
      <c r="B289" s="395" t="s">
        <v>246</v>
      </c>
      <c r="C289" s="395" t="s">
        <v>777</v>
      </c>
      <c r="D289" s="395" t="s">
        <v>447</v>
      </c>
      <c r="E289" s="537">
        <f>COUNTIF($D$5:D289,D289)</f>
        <v>1</v>
      </c>
      <c r="F289" s="537" t="str">
        <f t="shared" si="8"/>
        <v>Swindon1</v>
      </c>
      <c r="G289" s="541" t="str">
        <f t="shared" si="9"/>
        <v>NHS Gloucestershire CCG</v>
      </c>
      <c r="H289" s="546">
        <v>0</v>
      </c>
      <c r="I289" s="546">
        <v>1.9981631235859412E-3</v>
      </c>
      <c r="J289" s="384">
        <f>VLOOKUP($A289,'8.Non-elective admissions - CCG'!$D$5:$N$215,3,0)*$H289</f>
        <v>0</v>
      </c>
      <c r="K289" s="384">
        <f>VLOOKUP($A289,'8.Non-elective admissions - CCG'!$D$5:$N$215,4,0)*$H289</f>
        <v>0</v>
      </c>
      <c r="L289" s="384">
        <f>VLOOKUP($A289,'8.Non-elective admissions - CCG'!$D$5:$N$215,5,0)*$H289</f>
        <v>0</v>
      </c>
      <c r="M289" s="384">
        <f>VLOOKUP($A289,'8.Non-elective admissions - CCG'!$D$5:$N$215,6,0)*$H289</f>
        <v>0</v>
      </c>
      <c r="N289" s="384">
        <f>VLOOKUP($A289,'8.Non-elective admissions - CCG'!$D$5:$N$215,7,0)*$H289</f>
        <v>0</v>
      </c>
      <c r="O289" s="384">
        <f>VLOOKUP($A289,'8.Non-elective admissions - CCG'!$D$5:$N$215,8,0)*$H289</f>
        <v>0</v>
      </c>
      <c r="P289" s="384">
        <f>VLOOKUP($A289,'8.Non-elective admissions - CCG'!$D$5:$N$215,9,0)*$H289</f>
        <v>0</v>
      </c>
      <c r="Q289" s="384">
        <f>VLOOKUP($A289,'8.Non-elective admissions - CCG'!$D$5:$N$215,10,0)*$H289</f>
        <v>0</v>
      </c>
      <c r="R289" s="384">
        <f>VLOOKUP($A289,'8.Non-elective admissions - CCG'!$D$5:$Q$215,11,0)*$H289</f>
        <v>0</v>
      </c>
      <c r="S289" s="384">
        <f>VLOOKUP($A289,'8.Non-elective admissions - CCG'!$D$5:$Q$215,12,0)*$H289</f>
        <v>0</v>
      </c>
      <c r="T289" s="384">
        <f>VLOOKUP($A289,'8.Non-elective admissions - CCG'!$D$5:$Q$215,13,0)*$H289</f>
        <v>0</v>
      </c>
      <c r="U289" s="384">
        <f>VLOOKUP($A289,'8.Non-elective admissions - CCG'!$D$5:$Q$215,14,0)*$H289</f>
        <v>0</v>
      </c>
    </row>
    <row r="290" spans="1:21">
      <c r="A290" s="395" t="s">
        <v>247</v>
      </c>
      <c r="B290" s="395" t="s">
        <v>246</v>
      </c>
      <c r="C290" s="395" t="s">
        <v>789</v>
      </c>
      <c r="D290" s="395" t="s">
        <v>483</v>
      </c>
      <c r="E290" s="537">
        <f>COUNTIF($D$5:D290,D290)</f>
        <v>3</v>
      </c>
      <c r="F290" s="537" t="str">
        <f t="shared" si="8"/>
        <v>Warwickshire3</v>
      </c>
      <c r="G290" s="541" t="str">
        <f t="shared" si="9"/>
        <v>NHS Gloucestershire CCG</v>
      </c>
      <c r="H290" s="546">
        <v>1.9677939322363907E-3</v>
      </c>
      <c r="I290" s="546">
        <v>2.146034796048372E-3</v>
      </c>
      <c r="J290" s="384">
        <f>VLOOKUP($A290,'8.Non-elective admissions - CCG'!$D$5:$N$215,3,0)*$H290</f>
        <v>25.801714039483556</v>
      </c>
      <c r="K290" s="384">
        <f>VLOOKUP($A290,'8.Non-elective admissions - CCG'!$D$5:$N$215,4,0)*$H290</f>
        <v>26.270048995355815</v>
      </c>
      <c r="L290" s="384">
        <f>VLOOKUP($A290,'8.Non-elective admissions - CCG'!$D$5:$N$215,5,0)*$H290</f>
        <v>28.304747921288243</v>
      </c>
      <c r="M290" s="384">
        <f>VLOOKUP($A290,'8.Non-elective admissions - CCG'!$D$5:$N$215,6,0)*$H290</f>
        <v>27.700635184091674</v>
      </c>
      <c r="N290" s="384">
        <f>VLOOKUP($A290,'8.Non-elective admissions - CCG'!$D$5:$N$215,7,0)*$H290</f>
        <v>24.902432212451526</v>
      </c>
      <c r="O290" s="384">
        <f>VLOOKUP($A290,'8.Non-elective admissions - CCG'!$D$5:$N$215,8,0)*$H290</f>
        <v>25.392412901578385</v>
      </c>
      <c r="P290" s="384">
        <f>VLOOKUP($A290,'8.Non-elective admissions - CCG'!$D$5:$N$215,9,0)*$H290</f>
        <v>27.564857402767363</v>
      </c>
      <c r="Q290" s="384">
        <f>VLOOKUP($A290,'8.Non-elective admissions - CCG'!$D$5:$N$215,10,0)*$H290</f>
        <v>27.816735026093621</v>
      </c>
      <c r="R290" s="384">
        <f>VLOOKUP($A290,'8.Non-elective admissions - CCG'!$D$5:$Q$215,11,0)*$H290</f>
        <v>24.408515935460191</v>
      </c>
      <c r="S290" s="384">
        <f>VLOOKUP($A290,'8.Non-elective admissions - CCG'!$D$5:$Q$215,12,0)*$H290</f>
        <v>24.902432212451526</v>
      </c>
      <c r="T290" s="384">
        <f>VLOOKUP($A290,'8.Non-elective admissions - CCG'!$D$5:$Q$215,13,0)*$H290</f>
        <v>27.129974943743118</v>
      </c>
      <c r="U290" s="384">
        <f>VLOOKUP($A290,'8.Non-elective admissions - CCG'!$D$5:$Q$215,14,0)*$H290</f>
        <v>27.385788154933849</v>
      </c>
    </row>
    <row r="291" spans="1:21">
      <c r="A291" s="395" t="s">
        <v>247</v>
      </c>
      <c r="B291" s="395" t="s">
        <v>246</v>
      </c>
      <c r="C291" s="395" t="s">
        <v>794</v>
      </c>
      <c r="D291" s="395" t="s">
        <v>498</v>
      </c>
      <c r="E291" s="537">
        <f>COUNTIF($D$5:D291,D291)</f>
        <v>3</v>
      </c>
      <c r="F291" s="537" t="str">
        <f t="shared" si="8"/>
        <v>Wiltshire3</v>
      </c>
      <c r="G291" s="541" t="str">
        <f t="shared" si="9"/>
        <v>NHS Gloucestershire CCG</v>
      </c>
      <c r="H291" s="546">
        <v>4.219665171802933E-3</v>
      </c>
      <c r="I291" s="546">
        <v>5.5276802140826224E-3</v>
      </c>
      <c r="J291" s="384">
        <f>VLOOKUP($A291,'8.Non-elective admissions - CCG'!$D$5:$N$215,3,0)*$H291</f>
        <v>55.328249732680057</v>
      </c>
      <c r="K291" s="384">
        <f>VLOOKUP($A291,'8.Non-elective admissions - CCG'!$D$5:$N$215,4,0)*$H291</f>
        <v>56.332530043569157</v>
      </c>
      <c r="L291" s="384">
        <f>VLOOKUP($A291,'8.Non-elective admissions - CCG'!$D$5:$N$215,5,0)*$H291</f>
        <v>60.695663831213388</v>
      </c>
      <c r="M291" s="384">
        <f>VLOOKUP($A291,'8.Non-elective admissions - CCG'!$D$5:$N$215,6,0)*$H291</f>
        <v>59.400226623469891</v>
      </c>
      <c r="N291" s="384">
        <f>VLOOKUP($A291,'8.Non-elective admissions - CCG'!$D$5:$N$215,7,0)*$H291</f>
        <v>53.399862749166118</v>
      </c>
      <c r="O291" s="384">
        <f>VLOOKUP($A291,'8.Non-elective admissions - CCG'!$D$5:$N$215,8,0)*$H291</f>
        <v>54.450559376945051</v>
      </c>
      <c r="P291" s="384">
        <f>VLOOKUP($A291,'8.Non-elective admissions - CCG'!$D$5:$N$215,9,0)*$H291</f>
        <v>59.109069726615488</v>
      </c>
      <c r="Q291" s="384">
        <f>VLOOKUP($A291,'8.Non-elective admissions - CCG'!$D$5:$N$215,10,0)*$H291</f>
        <v>59.649186868606265</v>
      </c>
      <c r="R291" s="384">
        <f>VLOOKUP($A291,'8.Non-elective admissions - CCG'!$D$5:$Q$215,11,0)*$H291</f>
        <v>52.340726791043579</v>
      </c>
      <c r="S291" s="384">
        <f>VLOOKUP($A291,'8.Non-elective admissions - CCG'!$D$5:$Q$215,12,0)*$H291</f>
        <v>53.399862749166118</v>
      </c>
      <c r="T291" s="384">
        <f>VLOOKUP($A291,'8.Non-elective admissions - CCG'!$D$5:$Q$215,13,0)*$H291</f>
        <v>58.176523723647037</v>
      </c>
      <c r="U291" s="384">
        <f>VLOOKUP($A291,'8.Non-elective admissions - CCG'!$D$5:$Q$215,14,0)*$H291</f>
        <v>58.72508019598142</v>
      </c>
    </row>
    <row r="292" spans="1:21">
      <c r="A292" s="395" t="s">
        <v>247</v>
      </c>
      <c r="B292" s="395" t="s">
        <v>246</v>
      </c>
      <c r="C292" s="395" t="s">
        <v>799</v>
      </c>
      <c r="D292" s="395" t="s">
        <v>513</v>
      </c>
      <c r="E292" s="537">
        <f>COUNTIF($D$5:D292,D292)</f>
        <v>4</v>
      </c>
      <c r="F292" s="537" t="str">
        <f t="shared" si="8"/>
        <v>Worcestershire4</v>
      </c>
      <c r="G292" s="541" t="str">
        <f t="shared" si="9"/>
        <v>NHS Gloucestershire CCG</v>
      </c>
      <c r="H292" s="546">
        <v>5.3990647792017104E-3</v>
      </c>
      <c r="I292" s="546">
        <v>5.737515857455887E-3</v>
      </c>
      <c r="J292" s="384">
        <f>VLOOKUP($A292,'8.Non-elective admissions - CCG'!$D$5:$N$215,3,0)*$H292</f>
        <v>70.792537384892825</v>
      </c>
      <c r="K292" s="384">
        <f>VLOOKUP($A292,'8.Non-elective admissions - CCG'!$D$5:$N$215,4,0)*$H292</f>
        <v>72.077514802342833</v>
      </c>
      <c r="L292" s="384">
        <f>VLOOKUP($A292,'8.Non-elective admissions - CCG'!$D$5:$N$215,5,0)*$H292</f>
        <v>77.660147784037406</v>
      </c>
      <c r="M292" s="384">
        <f>VLOOKUP($A292,'8.Non-elective admissions - CCG'!$D$5:$N$215,6,0)*$H292</f>
        <v>76.002634896822471</v>
      </c>
      <c r="N292" s="384">
        <f>VLOOKUP($A292,'8.Non-elective admissions - CCG'!$D$5:$N$215,7,0)*$H292</f>
        <v>68.32516478079765</v>
      </c>
      <c r="O292" s="384">
        <f>VLOOKUP($A292,'8.Non-elective admissions - CCG'!$D$5:$N$215,8,0)*$H292</f>
        <v>69.669531910818876</v>
      </c>
      <c r="P292" s="384">
        <f>VLOOKUP($A292,'8.Non-elective admissions - CCG'!$D$5:$N$215,9,0)*$H292</f>
        <v>75.630099427057559</v>
      </c>
      <c r="Q292" s="384">
        <f>VLOOKUP($A292,'8.Non-elective admissions - CCG'!$D$5:$N$215,10,0)*$H292</f>
        <v>76.321179718795378</v>
      </c>
      <c r="R292" s="384">
        <f>VLOOKUP($A292,'8.Non-elective admissions - CCG'!$D$5:$Q$215,11,0)*$H292</f>
        <v>66.969999521218014</v>
      </c>
      <c r="S292" s="384">
        <f>VLOOKUP($A292,'8.Non-elective admissions - CCG'!$D$5:$Q$215,12,0)*$H292</f>
        <v>68.32516478079765</v>
      </c>
      <c r="T292" s="384">
        <f>VLOOKUP($A292,'8.Non-elective admissions - CCG'!$D$5:$Q$215,13,0)*$H292</f>
        <v>74.436906110853982</v>
      </c>
      <c r="U292" s="384">
        <f>VLOOKUP($A292,'8.Non-elective admissions - CCG'!$D$5:$Q$215,14,0)*$H292</f>
        <v>75.138784532150197</v>
      </c>
    </row>
    <row r="293" spans="1:21">
      <c r="A293" s="395" t="s">
        <v>250</v>
      </c>
      <c r="B293" s="395" t="s">
        <v>1214</v>
      </c>
      <c r="C293" s="395" t="s">
        <v>733</v>
      </c>
      <c r="D293" s="395" t="s">
        <v>315</v>
      </c>
      <c r="E293" s="537">
        <f>COUNTIF($D$5:D293,D293)</f>
        <v>2</v>
      </c>
      <c r="F293" s="537" t="str">
        <f t="shared" si="8"/>
        <v>Norfolk2</v>
      </c>
      <c r="G293" s="541" t="str">
        <f t="shared" si="9"/>
        <v>NHS Great Yarmouth and Waveney CCG</v>
      </c>
      <c r="H293" s="546">
        <v>0.47229046412564674</v>
      </c>
      <c r="I293" s="546">
        <v>0.12304632060990528</v>
      </c>
      <c r="J293" s="384">
        <f>VLOOKUP($A293,'8.Non-elective admissions - CCG'!$D$5:$N$215,3,0)*$H293</f>
        <v>2792.1812239108235</v>
      </c>
      <c r="K293" s="384">
        <f>VLOOKUP($A293,'8.Non-elective admissions - CCG'!$D$5:$N$215,4,0)*$H293</f>
        <v>2330.2811499959412</v>
      </c>
      <c r="L293" s="384">
        <f>VLOOKUP($A293,'8.Non-elective admissions - CCG'!$D$5:$N$215,5,0)*$H293</f>
        <v>2427.5729856058242</v>
      </c>
      <c r="M293" s="384">
        <f>VLOOKUP($A293,'8.Non-elective admissions - CCG'!$D$5:$N$215,6,0)*$H293</f>
        <v>2493.2213601192893</v>
      </c>
      <c r="N293" s="384">
        <f>VLOOKUP($A293,'8.Non-elective admissions - CCG'!$D$5:$N$215,7,0)*$H293</f>
        <v>2514.0021405408174</v>
      </c>
      <c r="O293" s="384">
        <f>VLOOKUP($A293,'8.Non-elective admissions - CCG'!$D$5:$N$215,8,0)*$H293</f>
        <v>2466.773094128253</v>
      </c>
      <c r="P293" s="384">
        <f>VLOOKUP($A293,'8.Non-elective admissions - CCG'!$D$5:$N$215,9,0)*$H293</f>
        <v>2418.599466787437</v>
      </c>
      <c r="Q293" s="384">
        <f>VLOOKUP($A293,'8.Non-elective admissions - CCG'!$D$5:$N$215,10,0)*$H293</f>
        <v>2361.4523206282338</v>
      </c>
      <c r="R293" s="384">
        <f>VLOOKUP($A293,'8.Non-elective admissions - CCG'!$D$5:$Q$215,11,0)*$H293</f>
        <v>2412.4596907538034</v>
      </c>
      <c r="S293" s="384">
        <f>VLOOKUP($A293,'8.Non-elective admissions - CCG'!$D$5:$Q$215,12,0)*$H293</f>
        <v>2366.1752252694901</v>
      </c>
      <c r="T293" s="384">
        <f>VLOOKUP($A293,'8.Non-elective admissions - CCG'!$D$5:$Q$215,13,0)*$H293</f>
        <v>2319.8907597851767</v>
      </c>
      <c r="U293" s="384">
        <f>VLOOKUP($A293,'8.Non-elective admissions - CCG'!$D$5:$Q$215,14,0)*$H293</f>
        <v>2265.5773564107276</v>
      </c>
    </row>
    <row r="294" spans="1:21">
      <c r="A294" s="395" t="s">
        <v>250</v>
      </c>
      <c r="B294" s="395" t="s">
        <v>1214</v>
      </c>
      <c r="C294" s="395" t="s">
        <v>773</v>
      </c>
      <c r="D294" s="395" t="s">
        <v>435</v>
      </c>
      <c r="E294" s="537">
        <f>COUNTIF($D$5:D294,D294)</f>
        <v>2</v>
      </c>
      <c r="F294" s="537" t="str">
        <f t="shared" si="8"/>
        <v>Suffolk2</v>
      </c>
      <c r="G294" s="541" t="str">
        <f t="shared" si="9"/>
        <v>NHS Great Yarmouth and Waveney CCG</v>
      </c>
      <c r="H294" s="546">
        <v>0.52770953587435321</v>
      </c>
      <c r="I294" s="546">
        <v>0.16566961579113973</v>
      </c>
      <c r="J294" s="384">
        <f>VLOOKUP($A294,'8.Non-elective admissions - CCG'!$D$5:$N$215,3,0)*$H294</f>
        <v>3119.818776089176</v>
      </c>
      <c r="K294" s="384">
        <f>VLOOKUP($A294,'8.Non-elective admissions - CCG'!$D$5:$N$215,4,0)*$H294</f>
        <v>2603.7188500040588</v>
      </c>
      <c r="L294" s="384">
        <f>VLOOKUP($A294,'8.Non-elective admissions - CCG'!$D$5:$N$215,5,0)*$H294</f>
        <v>2712.4270143941753</v>
      </c>
      <c r="M294" s="384">
        <f>VLOOKUP($A294,'8.Non-elective admissions - CCG'!$D$5:$N$215,6,0)*$H294</f>
        <v>2785.7786398807107</v>
      </c>
      <c r="N294" s="384">
        <f>VLOOKUP($A294,'8.Non-elective admissions - CCG'!$D$5:$N$215,7,0)*$H294</f>
        <v>2808.9978594591821</v>
      </c>
      <c r="O294" s="384">
        <f>VLOOKUP($A294,'8.Non-elective admissions - CCG'!$D$5:$N$215,8,0)*$H294</f>
        <v>2756.226905871747</v>
      </c>
      <c r="P294" s="384">
        <f>VLOOKUP($A294,'8.Non-elective admissions - CCG'!$D$5:$N$215,9,0)*$H294</f>
        <v>2702.400533212563</v>
      </c>
      <c r="Q294" s="384">
        <f>VLOOKUP($A294,'8.Non-elective admissions - CCG'!$D$5:$N$215,10,0)*$H294</f>
        <v>2638.5476793717662</v>
      </c>
      <c r="R294" s="384">
        <f>VLOOKUP($A294,'8.Non-elective admissions - CCG'!$D$5:$Q$215,11,0)*$H294</f>
        <v>2695.5403092461961</v>
      </c>
      <c r="S294" s="384">
        <f>VLOOKUP($A294,'8.Non-elective admissions - CCG'!$D$5:$Q$215,12,0)*$H294</f>
        <v>2643.8247747305095</v>
      </c>
      <c r="T294" s="384">
        <f>VLOOKUP($A294,'8.Non-elective admissions - CCG'!$D$5:$Q$215,13,0)*$H294</f>
        <v>2592.1092402148229</v>
      </c>
      <c r="U294" s="384">
        <f>VLOOKUP($A294,'8.Non-elective admissions - CCG'!$D$5:$Q$215,14,0)*$H294</f>
        <v>2531.4226435892724</v>
      </c>
    </row>
    <row r="295" spans="1:21">
      <c r="A295" s="395" t="s">
        <v>254</v>
      </c>
      <c r="B295" s="395" t="s">
        <v>253</v>
      </c>
      <c r="C295" s="395" t="s">
        <v>652</v>
      </c>
      <c r="D295" s="395" t="s">
        <v>23</v>
      </c>
      <c r="E295" s="537">
        <f>COUNTIF($D$5:D295,D295)</f>
        <v>3</v>
      </c>
      <c r="F295" s="537" t="str">
        <f t="shared" si="8"/>
        <v>Barnsley3</v>
      </c>
      <c r="G295" s="541" t="str">
        <f t="shared" si="9"/>
        <v>NHS Greater Huddersfield CCG</v>
      </c>
      <c r="H295" s="546">
        <v>1.7430330431038412E-3</v>
      </c>
      <c r="I295" s="546">
        <v>1.7323463211300987E-3</v>
      </c>
      <c r="J295" s="384">
        <f>VLOOKUP($A295,'8.Non-elective admissions - CCG'!$D$5:$N$215,3,0)*$H295</f>
        <v>10.630758529890327</v>
      </c>
      <c r="K295" s="384">
        <f>VLOOKUP($A295,'8.Non-elective admissions - CCG'!$D$5:$N$215,4,0)*$H295</f>
        <v>10.759742975080012</v>
      </c>
      <c r="L295" s="384">
        <f>VLOOKUP($A295,'8.Non-elective admissions - CCG'!$D$5:$N$215,5,0)*$H295</f>
        <v>10.90441471765763</v>
      </c>
      <c r="M295" s="384">
        <f>VLOOKUP($A295,'8.Non-elective admissions - CCG'!$D$5:$N$215,6,0)*$H295</f>
        <v>10.445997027321321</v>
      </c>
      <c r="N295" s="384">
        <f>VLOOKUP($A295,'8.Non-elective admissions - CCG'!$D$5:$N$215,7,0)*$H295</f>
        <v>10.747541743778285</v>
      </c>
      <c r="O295" s="384">
        <f>VLOOKUP($A295,'8.Non-elective admissions - CCG'!$D$5:$N$215,8,0)*$H295</f>
        <v>10.883498321140385</v>
      </c>
      <c r="P295" s="384">
        <f>VLOOKUP($A295,'8.Non-elective admissions - CCG'!$D$5:$N$215,9,0)*$H295</f>
        <v>11.026427030674899</v>
      </c>
      <c r="Q295" s="384">
        <f>VLOOKUP($A295,'8.Non-elective admissions - CCG'!$D$5:$N$215,10,0)*$H295</f>
        <v>10.609842133373082</v>
      </c>
      <c r="R295" s="384">
        <f>VLOOKUP($A295,'8.Non-elective admissions - CCG'!$D$5:$Q$215,11,0)*$H295</f>
        <v>10.794603635942089</v>
      </c>
      <c r="S295" s="384">
        <f>VLOOKUP($A295,'8.Non-elective admissions - CCG'!$D$5:$Q$215,12,0)*$H295</f>
        <v>10.930560213304188</v>
      </c>
      <c r="T295" s="384">
        <f>VLOOKUP($A295,'8.Non-elective admissions - CCG'!$D$5:$Q$215,13,0)*$H295</f>
        <v>11.076974988924912</v>
      </c>
      <c r="U295" s="384">
        <f>VLOOKUP($A295,'8.Non-elective admissions - CCG'!$D$5:$Q$215,14,0)*$H295</f>
        <v>10.655160992493782</v>
      </c>
    </row>
    <row r="296" spans="1:21">
      <c r="A296" s="395" t="s">
        <v>254</v>
      </c>
      <c r="B296" s="395" t="s">
        <v>253</v>
      </c>
      <c r="C296" s="395" t="s">
        <v>669</v>
      </c>
      <c r="D296" s="395" t="s">
        <v>94</v>
      </c>
      <c r="E296" s="537">
        <f>COUNTIF($D$5:D296,D296)</f>
        <v>3</v>
      </c>
      <c r="F296" s="537" t="str">
        <f t="shared" si="8"/>
        <v>Calderdale3</v>
      </c>
      <c r="G296" s="541" t="str">
        <f t="shared" si="9"/>
        <v>NHS Greater Huddersfield CCG</v>
      </c>
      <c r="H296" s="546">
        <v>3.8090033245974674E-3</v>
      </c>
      <c r="I296" s="546">
        <v>4.2614689098050846E-3</v>
      </c>
      <c r="J296" s="384">
        <f>VLOOKUP($A296,'8.Non-elective admissions - CCG'!$D$5:$N$215,3,0)*$H296</f>
        <v>23.231111276719954</v>
      </c>
      <c r="K296" s="384">
        <f>VLOOKUP($A296,'8.Non-elective admissions - CCG'!$D$5:$N$215,4,0)*$H296</f>
        <v>23.512977522740165</v>
      </c>
      <c r="L296" s="384">
        <f>VLOOKUP($A296,'8.Non-elective admissions - CCG'!$D$5:$N$215,5,0)*$H296</f>
        <v>23.829124798681757</v>
      </c>
      <c r="M296" s="384">
        <f>VLOOKUP($A296,'8.Non-elective admissions - CCG'!$D$5:$N$215,6,0)*$H296</f>
        <v>22.827356924312621</v>
      </c>
      <c r="N296" s="384">
        <f>VLOOKUP($A296,'8.Non-elective admissions - CCG'!$D$5:$N$215,7,0)*$H296</f>
        <v>23.486314499467984</v>
      </c>
      <c r="O296" s="384">
        <f>VLOOKUP($A296,'8.Non-elective admissions - CCG'!$D$5:$N$215,8,0)*$H296</f>
        <v>23.783416758786586</v>
      </c>
      <c r="P296" s="384">
        <f>VLOOKUP($A296,'8.Non-elective admissions - CCG'!$D$5:$N$215,9,0)*$H296</f>
        <v>24.095755031403581</v>
      </c>
      <c r="Q296" s="384">
        <f>VLOOKUP($A296,'8.Non-elective admissions - CCG'!$D$5:$N$215,10,0)*$H296</f>
        <v>23.185403236824783</v>
      </c>
      <c r="R296" s="384">
        <f>VLOOKUP($A296,'8.Non-elective admissions - CCG'!$D$5:$Q$215,11,0)*$H296</f>
        <v>23.589157589232116</v>
      </c>
      <c r="S296" s="384">
        <f>VLOOKUP($A296,'8.Non-elective admissions - CCG'!$D$5:$Q$215,12,0)*$H296</f>
        <v>23.886259848550718</v>
      </c>
      <c r="T296" s="384">
        <f>VLOOKUP($A296,'8.Non-elective admissions - CCG'!$D$5:$Q$215,13,0)*$H296</f>
        <v>24.206216127816905</v>
      </c>
      <c r="U296" s="384">
        <f>VLOOKUP($A296,'8.Non-elective admissions - CCG'!$D$5:$Q$215,14,0)*$H296</f>
        <v>23.284437323264317</v>
      </c>
    </row>
    <row r="297" spans="1:21">
      <c r="A297" s="395" t="s">
        <v>254</v>
      </c>
      <c r="B297" s="395" t="s">
        <v>253</v>
      </c>
      <c r="C297" s="395" t="s">
        <v>715</v>
      </c>
      <c r="D297" s="395" t="s">
        <v>261</v>
      </c>
      <c r="E297" s="537">
        <f>COUNTIF($D$5:D297,D297)</f>
        <v>4</v>
      </c>
      <c r="F297" s="537" t="str">
        <f t="shared" si="8"/>
        <v>Kirklees4</v>
      </c>
      <c r="G297" s="541" t="str">
        <f t="shared" si="9"/>
        <v>NHS Greater Huddersfield CCG</v>
      </c>
      <c r="H297" s="546">
        <v>0.99444796363229881</v>
      </c>
      <c r="I297" s="546">
        <v>0.54730020712425398</v>
      </c>
      <c r="J297" s="384">
        <f>VLOOKUP($A297,'8.Non-elective admissions - CCG'!$D$5:$N$215,3,0)*$H297</f>
        <v>6065.1381301933907</v>
      </c>
      <c r="K297" s="384">
        <f>VLOOKUP($A297,'8.Non-elective admissions - CCG'!$D$5:$N$215,4,0)*$H297</f>
        <v>6138.7272795021809</v>
      </c>
      <c r="L297" s="384">
        <f>VLOOKUP($A297,'8.Non-elective admissions - CCG'!$D$5:$N$215,5,0)*$H297</f>
        <v>6221.2664604836618</v>
      </c>
      <c r="M297" s="384">
        <f>VLOOKUP($A297,'8.Non-elective admissions - CCG'!$D$5:$N$215,6,0)*$H297</f>
        <v>5959.726646048367</v>
      </c>
      <c r="N297" s="384">
        <f>VLOOKUP($A297,'8.Non-elective admissions - CCG'!$D$5:$N$215,7,0)*$H297</f>
        <v>6131.7661437567549</v>
      </c>
      <c r="O297" s="384">
        <f>VLOOKUP($A297,'8.Non-elective admissions - CCG'!$D$5:$N$215,8,0)*$H297</f>
        <v>6209.3330849200738</v>
      </c>
      <c r="P297" s="384">
        <f>VLOOKUP($A297,'8.Non-elective admissions - CCG'!$D$5:$N$215,9,0)*$H297</f>
        <v>6290.8778179379224</v>
      </c>
      <c r="Q297" s="384">
        <f>VLOOKUP($A297,'8.Non-elective admissions - CCG'!$D$5:$N$215,10,0)*$H297</f>
        <v>6053.2047546298027</v>
      </c>
      <c r="R297" s="384">
        <f>VLOOKUP($A297,'8.Non-elective admissions - CCG'!$D$5:$Q$215,11,0)*$H297</f>
        <v>6158.6162387748263</v>
      </c>
      <c r="S297" s="384">
        <f>VLOOKUP($A297,'8.Non-elective admissions - CCG'!$D$5:$Q$215,12,0)*$H297</f>
        <v>6236.1831799381462</v>
      </c>
      <c r="T297" s="384">
        <f>VLOOKUP($A297,'8.Non-elective admissions - CCG'!$D$5:$Q$215,13,0)*$H297</f>
        <v>6319.7168088832586</v>
      </c>
      <c r="U297" s="384">
        <f>VLOOKUP($A297,'8.Non-elective admissions - CCG'!$D$5:$Q$215,14,0)*$H297</f>
        <v>6079.0604016842426</v>
      </c>
    </row>
    <row r="298" spans="1:21">
      <c r="A298" s="395" t="s">
        <v>257</v>
      </c>
      <c r="B298" s="395" t="s">
        <v>256</v>
      </c>
      <c r="C298" s="395" t="s">
        <v>718</v>
      </c>
      <c r="D298" s="395" t="s">
        <v>270</v>
      </c>
      <c r="E298" s="537">
        <f>COUNTIF($D$5:D298,D298)</f>
        <v>10</v>
      </c>
      <c r="F298" s="537" t="str">
        <f t="shared" si="8"/>
        <v>Lancashire10</v>
      </c>
      <c r="G298" s="541" t="str">
        <f t="shared" si="9"/>
        <v>NHS Greater Preston CCG</v>
      </c>
      <c r="H298" s="546">
        <v>0.99999999999999989</v>
      </c>
      <c r="I298" s="546">
        <v>0.17091893522727736</v>
      </c>
      <c r="J298" s="384">
        <f>VLOOKUP($A298,'8.Non-elective admissions - CCG'!$D$5:$N$215,3,0)*$H298</f>
        <v>5521.9999999999991</v>
      </c>
      <c r="K298" s="384">
        <f>VLOOKUP($A298,'8.Non-elective admissions - CCG'!$D$5:$N$215,4,0)*$H298</f>
        <v>5357.9999999999991</v>
      </c>
      <c r="L298" s="384">
        <f>VLOOKUP($A298,'8.Non-elective admissions - CCG'!$D$5:$N$215,5,0)*$H298</f>
        <v>5863.9999999999991</v>
      </c>
      <c r="M298" s="384">
        <f>VLOOKUP($A298,'8.Non-elective admissions - CCG'!$D$5:$N$215,6,0)*$H298</f>
        <v>5744.9999999999991</v>
      </c>
      <c r="N298" s="384">
        <f>VLOOKUP($A298,'8.Non-elective admissions - CCG'!$D$5:$N$215,7,0)*$H298</f>
        <v>5493.9999999999991</v>
      </c>
      <c r="O298" s="384">
        <f>VLOOKUP($A298,'8.Non-elective admissions - CCG'!$D$5:$N$215,8,0)*$H298</f>
        <v>5329.9999999999991</v>
      </c>
      <c r="P298" s="384">
        <f>VLOOKUP($A298,'8.Non-elective admissions - CCG'!$D$5:$N$215,9,0)*$H298</f>
        <v>5829.9999999999991</v>
      </c>
      <c r="Q298" s="384">
        <f>VLOOKUP($A298,'8.Non-elective admissions - CCG'!$D$5:$N$215,10,0)*$H298</f>
        <v>5763.9999999999991</v>
      </c>
      <c r="R298" s="384">
        <f>VLOOKUP($A298,'8.Non-elective admissions - CCG'!$D$5:$Q$215,11,0)*$H298</f>
        <v>5291.9999999999991</v>
      </c>
      <c r="S298" s="384">
        <f>VLOOKUP($A298,'8.Non-elective admissions - CCG'!$D$5:$Q$215,12,0)*$H298</f>
        <v>5132.9999999999991</v>
      </c>
      <c r="T298" s="384">
        <f>VLOOKUP($A298,'8.Non-elective admissions - CCG'!$D$5:$Q$215,13,0)*$H298</f>
        <v>5618.9999999999991</v>
      </c>
      <c r="U298" s="384">
        <f>VLOOKUP($A298,'8.Non-elective admissions - CCG'!$D$5:$Q$215,14,0)*$H298</f>
        <v>5557.9999999999991</v>
      </c>
    </row>
    <row r="299" spans="1:21">
      <c r="A299" s="395" t="s">
        <v>260</v>
      </c>
      <c r="B299" s="395" t="s">
        <v>259</v>
      </c>
      <c r="C299" s="395" t="s">
        <v>655</v>
      </c>
      <c r="D299" s="395" t="s">
        <v>39</v>
      </c>
      <c r="E299" s="537">
        <f>COUNTIF($D$5:D299,D299)</f>
        <v>3</v>
      </c>
      <c r="F299" s="537" t="str">
        <f t="shared" si="8"/>
        <v>Bexley3</v>
      </c>
      <c r="G299" s="541" t="str">
        <f t="shared" si="9"/>
        <v>NHS Greenwich CCG</v>
      </c>
      <c r="H299" s="546">
        <v>8.1745291958522051E-2</v>
      </c>
      <c r="I299" s="546">
        <v>8.8980856590730142E-2</v>
      </c>
      <c r="J299" s="384">
        <f>VLOOKUP($A299,'8.Non-elective admissions - CCG'!$D$5:$N$215,3,0)*$H299</f>
        <v>443.54995416694067</v>
      </c>
      <c r="K299" s="384">
        <f>VLOOKUP($A299,'8.Non-elective admissions - CCG'!$D$5:$N$215,4,0)*$H299</f>
        <v>435.94764201479808</v>
      </c>
      <c r="L299" s="384">
        <f>VLOOKUP($A299,'8.Non-elective admissions - CCG'!$D$5:$N$215,5,0)*$H299</f>
        <v>452.29670040650251</v>
      </c>
      <c r="M299" s="384">
        <f>VLOOKUP($A299,'8.Non-elective admissions - CCG'!$D$5:$N$215,6,0)*$H299</f>
        <v>432.75957562841575</v>
      </c>
      <c r="N299" s="384">
        <f>VLOOKUP($A299,'8.Non-elective admissions - CCG'!$D$5:$N$215,7,0)*$H299</f>
        <v>441.09759540818499</v>
      </c>
      <c r="O299" s="384">
        <f>VLOOKUP($A299,'8.Non-elective admissions - CCG'!$D$5:$N$215,8,0)*$H299</f>
        <v>433.65877383995951</v>
      </c>
      <c r="P299" s="384">
        <f>VLOOKUP($A299,'8.Non-elective admissions - CCG'!$D$5:$N$215,9,0)*$H299</f>
        <v>456.22047442051155</v>
      </c>
      <c r="Q299" s="384">
        <f>VLOOKUP($A299,'8.Non-elective admissions - CCG'!$D$5:$N$215,10,0)*$H299</f>
        <v>422.21443296576638</v>
      </c>
      <c r="R299" s="384">
        <f>VLOOKUP($A299,'8.Non-elective admissions - CCG'!$D$5:$Q$215,11,0)*$H299</f>
        <v>431.77863212491349</v>
      </c>
      <c r="S299" s="384">
        <f>VLOOKUP($A299,'8.Non-elective admissions - CCG'!$D$5:$Q$215,12,0)*$H299</f>
        <v>424.503301140605</v>
      </c>
      <c r="T299" s="384">
        <f>VLOOKUP($A299,'8.Non-elective admissions - CCG'!$D$5:$Q$215,13,0)*$H299</f>
        <v>446.49278467744745</v>
      </c>
      <c r="U299" s="384">
        <f>VLOOKUP($A299,'8.Non-elective admissions - CCG'!$D$5:$Q$215,14,0)*$H299</f>
        <v>413.22245085032898</v>
      </c>
    </row>
    <row r="300" spans="1:21">
      <c r="A300" s="395" t="s">
        <v>260</v>
      </c>
      <c r="B300" s="395" t="s">
        <v>259</v>
      </c>
      <c r="C300" s="395" t="s">
        <v>666</v>
      </c>
      <c r="D300" s="395" t="s">
        <v>83</v>
      </c>
      <c r="E300" s="537">
        <f>COUNTIF($D$5:D300,D300)</f>
        <v>4</v>
      </c>
      <c r="F300" s="537" t="str">
        <f t="shared" si="8"/>
        <v>Bromley4</v>
      </c>
      <c r="G300" s="541" t="str">
        <f t="shared" si="9"/>
        <v>NHS Greenwich CCG</v>
      </c>
      <c r="H300" s="546">
        <v>1.5180992237388172E-2</v>
      </c>
      <c r="I300" s="546">
        <v>1.2080677379739549E-2</v>
      </c>
      <c r="J300" s="384">
        <f>VLOOKUP($A300,'8.Non-elective admissions - CCG'!$D$5:$N$215,3,0)*$H300</f>
        <v>82.372063880068225</v>
      </c>
      <c r="K300" s="384">
        <f>VLOOKUP($A300,'8.Non-elective admissions - CCG'!$D$5:$N$215,4,0)*$H300</f>
        <v>80.960231601991126</v>
      </c>
      <c r="L300" s="384">
        <f>VLOOKUP($A300,'8.Non-elective admissions - CCG'!$D$5:$N$215,5,0)*$H300</f>
        <v>83.996430049468756</v>
      </c>
      <c r="M300" s="384">
        <f>VLOOKUP($A300,'8.Non-elective admissions - CCG'!$D$5:$N$215,6,0)*$H300</f>
        <v>80.368172904732987</v>
      </c>
      <c r="N300" s="384">
        <f>VLOOKUP($A300,'8.Non-elective admissions - CCG'!$D$5:$N$215,7,0)*$H300</f>
        <v>81.916634112946582</v>
      </c>
      <c r="O300" s="384">
        <f>VLOOKUP($A300,'8.Non-elective admissions - CCG'!$D$5:$N$215,8,0)*$H300</f>
        <v>80.535163819344248</v>
      </c>
      <c r="P300" s="384">
        <f>VLOOKUP($A300,'8.Non-elective admissions - CCG'!$D$5:$N$215,9,0)*$H300</f>
        <v>84.725117676863391</v>
      </c>
      <c r="Q300" s="384">
        <f>VLOOKUP($A300,'8.Non-elective admissions - CCG'!$D$5:$N$215,10,0)*$H300</f>
        <v>78.409824906109904</v>
      </c>
      <c r="R300" s="384">
        <f>VLOOKUP($A300,'8.Non-elective admissions - CCG'!$D$5:$Q$215,11,0)*$H300</f>
        <v>80.186000997884321</v>
      </c>
      <c r="S300" s="384">
        <f>VLOOKUP($A300,'8.Non-elective admissions - CCG'!$D$5:$Q$215,12,0)*$H300</f>
        <v>78.834892688756781</v>
      </c>
      <c r="T300" s="384">
        <f>VLOOKUP($A300,'8.Non-elective admissions - CCG'!$D$5:$Q$215,13,0)*$H300</f>
        <v>82.918579600614194</v>
      </c>
      <c r="U300" s="384">
        <f>VLOOKUP($A300,'8.Non-elective admissions - CCG'!$D$5:$Q$215,14,0)*$H300</f>
        <v>76.739915759997217</v>
      </c>
    </row>
    <row r="301" spans="1:21">
      <c r="A301" s="395" t="s">
        <v>260</v>
      </c>
      <c r="B301" s="395" t="s">
        <v>259</v>
      </c>
      <c r="C301" s="395" t="s">
        <v>695</v>
      </c>
      <c r="D301" s="395" t="s">
        <v>192</v>
      </c>
      <c r="E301" s="537">
        <f>COUNTIF($D$5:D301,D301)</f>
        <v>3</v>
      </c>
      <c r="F301" s="537" t="str">
        <f t="shared" si="8"/>
        <v>Greenwich3</v>
      </c>
      <c r="G301" s="541" t="str">
        <f t="shared" si="9"/>
        <v>NHS Greenwich CCG</v>
      </c>
      <c r="H301" s="546">
        <v>0.87881120260532897</v>
      </c>
      <c r="I301" s="546">
        <v>0.89700831418622828</v>
      </c>
      <c r="J301" s="384">
        <f>VLOOKUP($A301,'8.Non-elective admissions - CCG'!$D$5:$N$215,3,0)*$H301</f>
        <v>4768.4295853365147</v>
      </c>
      <c r="K301" s="384">
        <f>VLOOKUP($A301,'8.Non-elective admissions - CCG'!$D$5:$N$215,4,0)*$H301</f>
        <v>4686.7001434942194</v>
      </c>
      <c r="L301" s="384">
        <f>VLOOKUP($A301,'8.Non-elective admissions - CCG'!$D$5:$N$215,5,0)*$H301</f>
        <v>4862.4623840152854</v>
      </c>
      <c r="M301" s="384">
        <f>VLOOKUP($A301,'8.Non-elective admissions - CCG'!$D$5:$N$215,6,0)*$H301</f>
        <v>4652.426506592612</v>
      </c>
      <c r="N301" s="384">
        <f>VLOOKUP($A301,'8.Non-elective admissions - CCG'!$D$5:$N$215,7,0)*$H301</f>
        <v>4742.0652492583549</v>
      </c>
      <c r="O301" s="384">
        <f>VLOOKUP($A301,'8.Non-elective admissions - CCG'!$D$5:$N$215,8,0)*$H301</f>
        <v>4662.0934298212705</v>
      </c>
      <c r="P301" s="384">
        <f>VLOOKUP($A301,'8.Non-elective admissions - CCG'!$D$5:$N$215,9,0)*$H301</f>
        <v>4904.6453217403414</v>
      </c>
      <c r="Q301" s="384">
        <f>VLOOKUP($A301,'8.Non-elective admissions - CCG'!$D$5:$N$215,10,0)*$H301</f>
        <v>4539.0598614565242</v>
      </c>
      <c r="R301" s="384">
        <f>VLOOKUP($A301,'8.Non-elective admissions - CCG'!$D$5:$Q$215,11,0)*$H301</f>
        <v>4641.8807721613475</v>
      </c>
      <c r="S301" s="384">
        <f>VLOOKUP($A301,'8.Non-elective admissions - CCG'!$D$5:$Q$215,12,0)*$H301</f>
        <v>4563.6665751294731</v>
      </c>
      <c r="T301" s="384">
        <f>VLOOKUP($A301,'8.Non-elective admissions - CCG'!$D$5:$Q$215,13,0)*$H301</f>
        <v>4800.0667886303072</v>
      </c>
      <c r="U301" s="384">
        <f>VLOOKUP($A301,'8.Non-elective admissions - CCG'!$D$5:$Q$215,14,0)*$H301</f>
        <v>4442.3906291699377</v>
      </c>
    </row>
    <row r="302" spans="1:21">
      <c r="A302" s="395" t="s">
        <v>260</v>
      </c>
      <c r="B302" s="395" t="s">
        <v>259</v>
      </c>
      <c r="C302" s="395" t="s">
        <v>712</v>
      </c>
      <c r="D302" s="395" t="s">
        <v>252</v>
      </c>
      <c r="E302" s="537">
        <f>COUNTIF($D$5:D302,D302)</f>
        <v>7</v>
      </c>
      <c r="F302" s="537" t="str">
        <f t="shared" si="8"/>
        <v>Kent7</v>
      </c>
      <c r="G302" s="541" t="str">
        <f t="shared" si="9"/>
        <v>NHS Greenwich CCG</v>
      </c>
      <c r="H302" s="546">
        <v>9.3600003094214976E-4</v>
      </c>
      <c r="I302" s="546">
        <v>0</v>
      </c>
      <c r="J302" s="384">
        <f>VLOOKUP($A302,'8.Non-elective admissions - CCG'!$D$5:$N$215,3,0)*$H302</f>
        <v>5.0787361678921048</v>
      </c>
      <c r="K302" s="384">
        <f>VLOOKUP($A302,'8.Non-elective admissions - CCG'!$D$5:$N$215,4,0)*$H302</f>
        <v>4.9916881650144846</v>
      </c>
      <c r="L302" s="384">
        <f>VLOOKUP($A302,'8.Non-elective admissions - CCG'!$D$5:$N$215,5,0)*$H302</f>
        <v>5.1788881712029147</v>
      </c>
      <c r="M302" s="384">
        <f>VLOOKUP($A302,'8.Non-elective admissions - CCG'!$D$5:$N$215,6,0)*$H302</f>
        <v>4.9551841638077407</v>
      </c>
      <c r="N302" s="384">
        <f>VLOOKUP($A302,'8.Non-elective admissions - CCG'!$D$5:$N$215,7,0)*$H302</f>
        <v>5.0506561669638401</v>
      </c>
      <c r="O302" s="384">
        <f>VLOOKUP($A302,'8.Non-elective admissions - CCG'!$D$5:$N$215,8,0)*$H302</f>
        <v>4.9654801641481043</v>
      </c>
      <c r="P302" s="384">
        <f>VLOOKUP($A302,'8.Non-elective admissions - CCG'!$D$5:$N$215,9,0)*$H302</f>
        <v>5.2238161726881378</v>
      </c>
      <c r="Q302" s="384">
        <f>VLOOKUP($A302,'8.Non-elective admissions - CCG'!$D$5:$N$215,10,0)*$H302</f>
        <v>4.8344401598162037</v>
      </c>
      <c r="R302" s="384">
        <f>VLOOKUP($A302,'8.Non-elective admissions - CCG'!$D$5:$Q$215,11,0)*$H302</f>
        <v>4.9439521634364354</v>
      </c>
      <c r="S302" s="384">
        <f>VLOOKUP($A302,'8.Non-elective admissions - CCG'!$D$5:$Q$215,12,0)*$H302</f>
        <v>4.860648160682584</v>
      </c>
      <c r="T302" s="384">
        <f>VLOOKUP($A302,'8.Non-elective admissions - CCG'!$D$5:$Q$215,13,0)*$H302</f>
        <v>5.1124321690060217</v>
      </c>
      <c r="U302" s="384">
        <f>VLOOKUP($A302,'8.Non-elective admissions - CCG'!$D$5:$Q$215,14,0)*$H302</f>
        <v>4.7314801564125668</v>
      </c>
    </row>
    <row r="303" spans="1:21">
      <c r="A303" s="395" t="s">
        <v>260</v>
      </c>
      <c r="B303" s="395" t="s">
        <v>259</v>
      </c>
      <c r="C303" s="395" t="s">
        <v>722</v>
      </c>
      <c r="D303" s="395" t="s">
        <v>282</v>
      </c>
      <c r="E303" s="537">
        <f>COUNTIF($D$5:D303,D303)</f>
        <v>3</v>
      </c>
      <c r="F303" s="537" t="str">
        <f t="shared" si="8"/>
        <v>Lewisham3</v>
      </c>
      <c r="G303" s="541" t="str">
        <f t="shared" si="9"/>
        <v>NHS Greenwich CCG</v>
      </c>
      <c r="H303" s="546">
        <v>2.3326513167818617E-2</v>
      </c>
      <c r="I303" s="546">
        <v>1.9867636933841526E-2</v>
      </c>
      <c r="J303" s="384">
        <f>VLOOKUP($A303,'8.Non-elective admissions - CCG'!$D$5:$N$215,3,0)*$H303</f>
        <v>126.56966044858382</v>
      </c>
      <c r="K303" s="384">
        <f>VLOOKUP($A303,'8.Non-elective admissions - CCG'!$D$5:$N$215,4,0)*$H303</f>
        <v>124.40029472397669</v>
      </c>
      <c r="L303" s="384">
        <f>VLOOKUP($A303,'8.Non-elective admissions - CCG'!$D$5:$N$215,5,0)*$H303</f>
        <v>129.06559735754041</v>
      </c>
      <c r="M303" s="384">
        <f>VLOOKUP($A303,'8.Non-elective admissions - CCG'!$D$5:$N$215,6,0)*$H303</f>
        <v>123.49056071043175</v>
      </c>
      <c r="N303" s="384">
        <f>VLOOKUP($A303,'8.Non-elective admissions - CCG'!$D$5:$N$215,7,0)*$H303</f>
        <v>125.86986505354926</v>
      </c>
      <c r="O303" s="384">
        <f>VLOOKUP($A303,'8.Non-elective admissions - CCG'!$D$5:$N$215,8,0)*$H303</f>
        <v>123.74715235527776</v>
      </c>
      <c r="P303" s="384">
        <f>VLOOKUP($A303,'8.Non-elective admissions - CCG'!$D$5:$N$215,9,0)*$H303</f>
        <v>130.1852699895957</v>
      </c>
      <c r="Q303" s="384">
        <f>VLOOKUP($A303,'8.Non-elective admissions - CCG'!$D$5:$N$215,10,0)*$H303</f>
        <v>120.48144051178316</v>
      </c>
      <c r="R303" s="384">
        <f>VLOOKUP($A303,'8.Non-elective admissions - CCG'!$D$5:$Q$215,11,0)*$H303</f>
        <v>123.21064255241794</v>
      </c>
      <c r="S303" s="384">
        <f>VLOOKUP($A303,'8.Non-elective admissions - CCG'!$D$5:$Q$215,12,0)*$H303</f>
        <v>121.13458288048207</v>
      </c>
      <c r="T303" s="384">
        <f>VLOOKUP($A303,'8.Non-elective admissions - CCG'!$D$5:$Q$215,13,0)*$H303</f>
        <v>127.40941492262529</v>
      </c>
      <c r="U303" s="384">
        <f>VLOOKUP($A303,'8.Non-elective admissions - CCG'!$D$5:$Q$215,14,0)*$H303</f>
        <v>117.9155240633231</v>
      </c>
    </row>
    <row r="304" spans="1:21">
      <c r="A304" s="395" t="s">
        <v>263</v>
      </c>
      <c r="B304" s="395" t="s">
        <v>262</v>
      </c>
      <c r="C304" s="395" t="s">
        <v>699</v>
      </c>
      <c r="D304" s="395" t="s">
        <v>205</v>
      </c>
      <c r="E304" s="537">
        <f>COUNTIF($D$5:D304,D304)</f>
        <v>5</v>
      </c>
      <c r="F304" s="537" t="str">
        <f t="shared" si="8"/>
        <v>Hampshire5</v>
      </c>
      <c r="G304" s="541" t="str">
        <f t="shared" si="9"/>
        <v>NHS Guildford and Waverley CCG</v>
      </c>
      <c r="H304" s="546">
        <v>2.9428880584122137E-2</v>
      </c>
      <c r="I304" s="546">
        <v>4.7675128578488673E-3</v>
      </c>
      <c r="J304" s="384">
        <f>VLOOKUP($A304,'8.Non-elective admissions - CCG'!$D$5:$N$215,3,0)*$H304</f>
        <v>126.48532875055695</v>
      </c>
      <c r="K304" s="384">
        <f>VLOOKUP($A304,'8.Non-elective admissions - CCG'!$D$5:$N$215,4,0)*$H304</f>
        <v>125.19045800485557</v>
      </c>
      <c r="L304" s="384">
        <f>VLOOKUP($A304,'8.Non-elective admissions - CCG'!$D$5:$N$215,5,0)*$H304</f>
        <v>142.14149322130993</v>
      </c>
      <c r="M304" s="384">
        <f>VLOOKUP($A304,'8.Non-elective admissions - CCG'!$D$5:$N$215,6,0)*$H304</f>
        <v>131.78252725569894</v>
      </c>
      <c r="N304" s="384">
        <f>VLOOKUP($A304,'8.Non-elective admissions - CCG'!$D$5:$N$215,7,0)*$H304</f>
        <v>128.63363703319786</v>
      </c>
      <c r="O304" s="384">
        <f>VLOOKUP($A304,'8.Non-elective admissions - CCG'!$D$5:$N$215,8,0)*$H304</f>
        <v>101.91221346281496</v>
      </c>
      <c r="P304" s="384">
        <f>VLOOKUP($A304,'8.Non-elective admissions - CCG'!$D$5:$N$215,9,0)*$H304</f>
        <v>112.97747256244489</v>
      </c>
      <c r="Q304" s="384">
        <f>VLOOKUP($A304,'8.Non-elective admissions - CCG'!$D$5:$N$215,10,0)*$H304</f>
        <v>113.24233248770199</v>
      </c>
      <c r="R304" s="384">
        <f>VLOOKUP($A304,'8.Non-elective admissions - CCG'!$D$5:$Q$215,11,0)*$H304</f>
        <v>102.26536002982442</v>
      </c>
      <c r="S304" s="384">
        <f>VLOOKUP($A304,'8.Non-elective admissions - CCG'!$D$5:$Q$215,12,0)*$H304</f>
        <v>74.984787728343207</v>
      </c>
      <c r="T304" s="384">
        <f>VLOOKUP($A304,'8.Non-elective admissions - CCG'!$D$5:$Q$215,13,0)*$H304</f>
        <v>86.256048992061977</v>
      </c>
      <c r="U304" s="384">
        <f>VLOOKUP($A304,'8.Non-elective admissions - CCG'!$D$5:$Q$215,14,0)*$H304</f>
        <v>86.579766678487331</v>
      </c>
    </row>
    <row r="305" spans="1:21">
      <c r="A305" s="395" t="s">
        <v>263</v>
      </c>
      <c r="B305" s="395" t="s">
        <v>262</v>
      </c>
      <c r="C305" s="395" t="s">
        <v>775</v>
      </c>
      <c r="D305" s="395" t="s">
        <v>441</v>
      </c>
      <c r="E305" s="537">
        <f>COUNTIF($D$5:D305,D305)</f>
        <v>7</v>
      </c>
      <c r="F305" s="537" t="str">
        <f t="shared" si="8"/>
        <v>Surrey7</v>
      </c>
      <c r="G305" s="541" t="str">
        <f t="shared" si="9"/>
        <v>NHS Guildford and Waverley CCG</v>
      </c>
      <c r="H305" s="546">
        <v>0.93916455258826848</v>
      </c>
      <c r="I305" s="546">
        <v>0.17034560102913407</v>
      </c>
      <c r="J305" s="384">
        <f>VLOOKUP($A305,'8.Non-elective admissions - CCG'!$D$5:$N$215,3,0)*$H305</f>
        <v>4036.529247024378</v>
      </c>
      <c r="K305" s="384">
        <f>VLOOKUP($A305,'8.Non-elective admissions - CCG'!$D$5:$N$215,4,0)*$H305</f>
        <v>3995.206006710494</v>
      </c>
      <c r="L305" s="384">
        <f>VLOOKUP($A305,'8.Non-elective admissions - CCG'!$D$5:$N$215,5,0)*$H305</f>
        <v>4536.1647890013364</v>
      </c>
      <c r="M305" s="384">
        <f>VLOOKUP($A305,'8.Non-elective admissions - CCG'!$D$5:$N$215,6,0)*$H305</f>
        <v>4205.5788664902666</v>
      </c>
      <c r="N305" s="384">
        <f>VLOOKUP($A305,'8.Non-elective admissions - CCG'!$D$5:$N$215,7,0)*$H305</f>
        <v>4105.0882593633214</v>
      </c>
      <c r="O305" s="384">
        <f>VLOOKUP($A305,'8.Non-elective admissions - CCG'!$D$5:$N$215,8,0)*$H305</f>
        <v>3252.3268456131736</v>
      </c>
      <c r="P305" s="384">
        <f>VLOOKUP($A305,'8.Non-elective admissions - CCG'!$D$5:$N$215,9,0)*$H305</f>
        <v>3605.4527173863626</v>
      </c>
      <c r="Q305" s="384">
        <f>VLOOKUP($A305,'8.Non-elective admissions - CCG'!$D$5:$N$215,10,0)*$H305</f>
        <v>3613.9051983596569</v>
      </c>
      <c r="R305" s="384">
        <f>VLOOKUP($A305,'8.Non-elective admissions - CCG'!$D$5:$Q$215,11,0)*$H305</f>
        <v>3263.5968202442327</v>
      </c>
      <c r="S305" s="384">
        <f>VLOOKUP($A305,'8.Non-elective admissions - CCG'!$D$5:$Q$215,12,0)*$H305</f>
        <v>2392.9912799949079</v>
      </c>
      <c r="T305" s="384">
        <f>VLOOKUP($A305,'8.Non-elective admissions - CCG'!$D$5:$Q$215,13,0)*$H305</f>
        <v>2752.6913036362148</v>
      </c>
      <c r="U305" s="384">
        <f>VLOOKUP($A305,'8.Non-elective admissions - CCG'!$D$5:$Q$215,14,0)*$H305</f>
        <v>2763.0221137146859</v>
      </c>
    </row>
    <row r="306" spans="1:21">
      <c r="A306" s="395" t="s">
        <v>263</v>
      </c>
      <c r="B306" s="395" t="s">
        <v>262</v>
      </c>
      <c r="C306" s="395" t="s">
        <v>791</v>
      </c>
      <c r="D306" s="395" t="s">
        <v>489</v>
      </c>
      <c r="E306" s="537">
        <f>COUNTIF($D$5:D306,D306)</f>
        <v>5</v>
      </c>
      <c r="F306" s="537" t="str">
        <f t="shared" si="8"/>
        <v>West Sussex5</v>
      </c>
      <c r="G306" s="541" t="str">
        <f t="shared" si="9"/>
        <v>NHS Guildford and Waverley CCG</v>
      </c>
      <c r="H306" s="546">
        <v>3.1406566827609408E-2</v>
      </c>
      <c r="I306" s="546">
        <v>8.0684251036876719E-3</v>
      </c>
      <c r="J306" s="384">
        <f>VLOOKUP($A306,'8.Non-elective admissions - CCG'!$D$5:$N$215,3,0)*$H306</f>
        <v>134.98542422506523</v>
      </c>
      <c r="K306" s="384">
        <f>VLOOKUP($A306,'8.Non-elective admissions - CCG'!$D$5:$N$215,4,0)*$H306</f>
        <v>133.60353528465043</v>
      </c>
      <c r="L306" s="384">
        <f>VLOOKUP($A306,'8.Non-elective admissions - CCG'!$D$5:$N$215,5,0)*$H306</f>
        <v>151.69371777735344</v>
      </c>
      <c r="M306" s="384">
        <f>VLOOKUP($A306,'8.Non-elective admissions - CCG'!$D$5:$N$215,6,0)*$H306</f>
        <v>140.63860625403493</v>
      </c>
      <c r="N306" s="384">
        <f>VLOOKUP($A306,'8.Non-elective admissions - CCG'!$D$5:$N$215,7,0)*$H306</f>
        <v>137.27810360348073</v>
      </c>
      <c r="O306" s="384">
        <f>VLOOKUP($A306,'8.Non-elective admissions - CCG'!$D$5:$N$215,8,0)*$H306</f>
        <v>108.76094092401138</v>
      </c>
      <c r="P306" s="384">
        <f>VLOOKUP($A306,'8.Non-elective admissions - CCG'!$D$5:$N$215,9,0)*$H306</f>
        <v>120.56981005119252</v>
      </c>
      <c r="Q306" s="384">
        <f>VLOOKUP($A306,'8.Non-elective admissions - CCG'!$D$5:$N$215,10,0)*$H306</f>
        <v>120.85246915264101</v>
      </c>
      <c r="R306" s="384">
        <f>VLOOKUP($A306,'8.Non-elective admissions - CCG'!$D$5:$Q$215,11,0)*$H306</f>
        <v>109.13781972594269</v>
      </c>
      <c r="S306" s="384">
        <f>VLOOKUP($A306,'8.Non-elective admissions - CCG'!$D$5:$Q$215,12,0)*$H306</f>
        <v>80.023932276748766</v>
      </c>
      <c r="T306" s="384">
        <f>VLOOKUP($A306,'8.Non-elective admissions - CCG'!$D$5:$Q$215,13,0)*$H306</f>
        <v>92.052647371723182</v>
      </c>
      <c r="U306" s="384">
        <f>VLOOKUP($A306,'8.Non-elective admissions - CCG'!$D$5:$Q$215,14,0)*$H306</f>
        <v>92.398119606826882</v>
      </c>
    </row>
    <row r="307" spans="1:21">
      <c r="A307" s="395" t="s">
        <v>266</v>
      </c>
      <c r="B307" s="395" t="s">
        <v>265</v>
      </c>
      <c r="C307" s="395" t="s">
        <v>674</v>
      </c>
      <c r="D307" s="395" t="s">
        <v>114</v>
      </c>
      <c r="E307" s="537">
        <f>COUNTIF($D$5:D307,D307)</f>
        <v>2</v>
      </c>
      <c r="F307" s="537" t="str">
        <f t="shared" si="8"/>
        <v>Cheshire West and Chester2</v>
      </c>
      <c r="G307" s="541" t="str">
        <f t="shared" si="9"/>
        <v>NHS Halton CCG</v>
      </c>
      <c r="H307" s="546">
        <v>2.1285982986694323E-3</v>
      </c>
      <c r="I307" s="546">
        <v>0</v>
      </c>
      <c r="J307" s="384">
        <f>VLOOKUP($A307,'8.Non-elective admissions - CCG'!$D$5:$N$215,3,0)*$H307</f>
        <v>9.4765196256763122</v>
      </c>
      <c r="K307" s="384">
        <f>VLOOKUP($A307,'8.Non-elective admissions - CCG'!$D$5:$N$215,4,0)*$H307</f>
        <v>8.7613105973233836</v>
      </c>
      <c r="L307" s="384">
        <f>VLOOKUP($A307,'8.Non-elective admissions - CCG'!$D$5:$N$215,5,0)*$H307</f>
        <v>8.8826407003475403</v>
      </c>
      <c r="M307" s="384">
        <f>VLOOKUP($A307,'8.Non-elective admissions - CCG'!$D$5:$N$215,6,0)*$H307</f>
        <v>8.9379842561129461</v>
      </c>
      <c r="N307" s="384">
        <f>VLOOKUP($A307,'8.Non-elective admissions - CCG'!$D$5:$N$215,7,0)*$H307</f>
        <v>8.9039266833342356</v>
      </c>
      <c r="O307" s="384">
        <f>VLOOKUP($A307,'8.Non-elective admissions - CCG'!$D$5:$N$215,8,0)*$H307</f>
        <v>8.7123528364539862</v>
      </c>
      <c r="P307" s="384">
        <f>VLOOKUP($A307,'8.Non-elective admissions - CCG'!$D$5:$N$215,9,0)*$H307</f>
        <v>8.7783393837127388</v>
      </c>
      <c r="Q307" s="384">
        <f>VLOOKUP($A307,'8.Non-elective admissions - CCG'!$D$5:$N$215,10,0)*$H307</f>
        <v>8.725124426246003</v>
      </c>
      <c r="R307" s="384">
        <f>VLOOKUP($A307,'8.Non-elective admissions - CCG'!$D$5:$Q$215,11,0)*$H307</f>
        <v>8.4462780491203073</v>
      </c>
      <c r="S307" s="384">
        <f>VLOOKUP($A307,'8.Non-elective admissions - CCG'!$D$5:$Q$215,12,0)*$H307</f>
        <v>8.2632185954347364</v>
      </c>
      <c r="T307" s="384">
        <f>VLOOKUP($A307,'8.Non-elective admissions - CCG'!$D$5:$Q$215,13,0)*$H307</f>
        <v>8.3313337409921573</v>
      </c>
      <c r="U307" s="384">
        <f>VLOOKUP($A307,'8.Non-elective admissions - CCG'!$D$5:$Q$215,14,0)*$H307</f>
        <v>8.2759901852267532</v>
      </c>
    </row>
    <row r="308" spans="1:21">
      <c r="A308" s="395" t="s">
        <v>266</v>
      </c>
      <c r="B308" s="395" t="s">
        <v>265</v>
      </c>
      <c r="C308" s="395" t="s">
        <v>697</v>
      </c>
      <c r="D308" s="395" t="s">
        <v>198</v>
      </c>
      <c r="E308" s="537">
        <f>COUNTIF($D$5:D308,D308)</f>
        <v>1</v>
      </c>
      <c r="F308" s="537" t="str">
        <f t="shared" si="8"/>
        <v>Halton1</v>
      </c>
      <c r="G308" s="541" t="str">
        <f t="shared" si="9"/>
        <v>NHS Halton CCG</v>
      </c>
      <c r="H308" s="546">
        <v>0.98254549395091062</v>
      </c>
      <c r="I308" s="546">
        <v>0.96675628127308588</v>
      </c>
      <c r="J308" s="384">
        <f>VLOOKUP($A308,'8.Non-elective admissions - CCG'!$D$5:$N$215,3,0)*$H308</f>
        <v>4374.2925390694545</v>
      </c>
      <c r="K308" s="384">
        <f>VLOOKUP($A308,'8.Non-elective admissions - CCG'!$D$5:$N$215,4,0)*$H308</f>
        <v>4044.1572531019483</v>
      </c>
      <c r="L308" s="384">
        <f>VLOOKUP($A308,'8.Non-elective admissions - CCG'!$D$5:$N$215,5,0)*$H308</f>
        <v>4100.1623462571497</v>
      </c>
      <c r="M308" s="384">
        <f>VLOOKUP($A308,'8.Non-elective admissions - CCG'!$D$5:$N$215,6,0)*$H308</f>
        <v>4125.7085290998739</v>
      </c>
      <c r="N308" s="384">
        <f>VLOOKUP($A308,'8.Non-elective admissions - CCG'!$D$5:$N$215,7,0)*$H308</f>
        <v>4109.9878011966593</v>
      </c>
      <c r="O308" s="384">
        <f>VLOOKUP($A308,'8.Non-elective admissions - CCG'!$D$5:$N$215,8,0)*$H308</f>
        <v>4021.558706741077</v>
      </c>
      <c r="P308" s="384">
        <f>VLOOKUP($A308,'8.Non-elective admissions - CCG'!$D$5:$N$215,9,0)*$H308</f>
        <v>4052.0176170535556</v>
      </c>
      <c r="Q308" s="384">
        <f>VLOOKUP($A308,'8.Non-elective admissions - CCG'!$D$5:$N$215,10,0)*$H308</f>
        <v>4027.4539797047828</v>
      </c>
      <c r="R308" s="384">
        <f>VLOOKUP($A308,'8.Non-elective admissions - CCG'!$D$5:$Q$215,11,0)*$H308</f>
        <v>3898.7405199972131</v>
      </c>
      <c r="S308" s="384">
        <f>VLOOKUP($A308,'8.Non-elective admissions - CCG'!$D$5:$Q$215,12,0)*$H308</f>
        <v>3814.2416075174351</v>
      </c>
      <c r="T308" s="384">
        <f>VLOOKUP($A308,'8.Non-elective admissions - CCG'!$D$5:$Q$215,13,0)*$H308</f>
        <v>3845.6830633238642</v>
      </c>
      <c r="U308" s="384">
        <f>VLOOKUP($A308,'8.Non-elective admissions - CCG'!$D$5:$Q$215,14,0)*$H308</f>
        <v>3820.1368804811405</v>
      </c>
    </row>
    <row r="309" spans="1:21">
      <c r="A309" s="395" t="s">
        <v>266</v>
      </c>
      <c r="B309" s="395" t="s">
        <v>265</v>
      </c>
      <c r="C309" s="395" t="s">
        <v>716</v>
      </c>
      <c r="D309" s="395" t="s">
        <v>264</v>
      </c>
      <c r="E309" s="537">
        <f>COUNTIF($D$5:D309,D309)</f>
        <v>1</v>
      </c>
      <c r="F309" s="537" t="str">
        <f t="shared" si="8"/>
        <v>Knowsley1</v>
      </c>
      <c r="G309" s="541" t="str">
        <f t="shared" si="9"/>
        <v>NHS Halton CCG</v>
      </c>
      <c r="H309" s="546">
        <v>1.0666212565696283E-2</v>
      </c>
      <c r="I309" s="546">
        <v>8.6724482988659105E-3</v>
      </c>
      <c r="J309" s="384">
        <f>VLOOKUP($A309,'8.Non-elective admissions - CCG'!$D$5:$N$215,3,0)*$H309</f>
        <v>47.485978342479854</v>
      </c>
      <c r="K309" s="384">
        <f>VLOOKUP($A309,'8.Non-elective admissions - CCG'!$D$5:$N$215,4,0)*$H309</f>
        <v>43.902130920405902</v>
      </c>
      <c r="L309" s="384">
        <f>VLOOKUP($A309,'8.Non-elective admissions - CCG'!$D$5:$N$215,5,0)*$H309</f>
        <v>44.510105036650586</v>
      </c>
      <c r="M309" s="384">
        <f>VLOOKUP($A309,'8.Non-elective admissions - CCG'!$D$5:$N$215,6,0)*$H309</f>
        <v>44.787426563358693</v>
      </c>
      <c r="N309" s="384">
        <f>VLOOKUP($A309,'8.Non-elective admissions - CCG'!$D$5:$N$215,7,0)*$H309</f>
        <v>44.616767162307553</v>
      </c>
      <c r="O309" s="384">
        <f>VLOOKUP($A309,'8.Non-elective admissions - CCG'!$D$5:$N$215,8,0)*$H309</f>
        <v>43.656808031394888</v>
      </c>
      <c r="P309" s="384">
        <f>VLOOKUP($A309,'8.Non-elective admissions - CCG'!$D$5:$N$215,9,0)*$H309</f>
        <v>43.987460620931472</v>
      </c>
      <c r="Q309" s="384">
        <f>VLOOKUP($A309,'8.Non-elective admissions - CCG'!$D$5:$N$215,10,0)*$H309</f>
        <v>43.72080530678906</v>
      </c>
      <c r="R309" s="384">
        <f>VLOOKUP($A309,'8.Non-elective admissions - CCG'!$D$5:$Q$215,11,0)*$H309</f>
        <v>42.323531460682851</v>
      </c>
      <c r="S309" s="384">
        <f>VLOOKUP($A309,'8.Non-elective admissions - CCG'!$D$5:$Q$215,12,0)*$H309</f>
        <v>41.406237180032967</v>
      </c>
      <c r="T309" s="384">
        <f>VLOOKUP($A309,'8.Non-elective admissions - CCG'!$D$5:$Q$215,13,0)*$H309</f>
        <v>41.747555982135253</v>
      </c>
      <c r="U309" s="384">
        <f>VLOOKUP($A309,'8.Non-elective admissions - CCG'!$D$5:$Q$215,14,0)*$H309</f>
        <v>41.470234455427146</v>
      </c>
    </row>
    <row r="310" spans="1:21">
      <c r="A310" s="395" t="s">
        <v>266</v>
      </c>
      <c r="B310" s="395" t="s">
        <v>265</v>
      </c>
      <c r="C310" s="395" t="s">
        <v>768</v>
      </c>
      <c r="D310" s="395" t="s">
        <v>420</v>
      </c>
      <c r="E310" s="537">
        <f>COUNTIF($D$5:D310,D310)</f>
        <v>1</v>
      </c>
      <c r="F310" s="537" t="str">
        <f t="shared" si="8"/>
        <v>St. Helens1</v>
      </c>
      <c r="G310" s="541" t="str">
        <f t="shared" si="9"/>
        <v>NHS Halton CCG</v>
      </c>
      <c r="H310" s="546">
        <v>1.6796575665864249E-3</v>
      </c>
      <c r="I310" s="546">
        <v>1.183715995439693E-3</v>
      </c>
      <c r="J310" s="384">
        <f>VLOOKUP($A310,'8.Non-elective admissions - CCG'!$D$5:$N$215,3,0)*$H310</f>
        <v>7.4778354864427632</v>
      </c>
      <c r="K310" s="384">
        <f>VLOOKUP($A310,'8.Non-elective admissions - CCG'!$D$5:$N$215,4,0)*$H310</f>
        <v>6.9134705440697246</v>
      </c>
      <c r="L310" s="384">
        <f>VLOOKUP($A310,'8.Non-elective admissions - CCG'!$D$5:$N$215,5,0)*$H310</f>
        <v>7.0092110253651514</v>
      </c>
      <c r="M310" s="384">
        <f>VLOOKUP($A310,'8.Non-elective admissions - CCG'!$D$5:$N$215,6,0)*$H310</f>
        <v>7.0528821220963982</v>
      </c>
      <c r="N310" s="384">
        <f>VLOOKUP($A310,'8.Non-elective admissions - CCG'!$D$5:$N$215,7,0)*$H310</f>
        <v>7.0260076010310151</v>
      </c>
      <c r="O310" s="384">
        <f>VLOOKUP($A310,'8.Non-elective admissions - CCG'!$D$5:$N$215,8,0)*$H310</f>
        <v>6.8748384200382375</v>
      </c>
      <c r="P310" s="384">
        <f>VLOOKUP($A310,'8.Non-elective admissions - CCG'!$D$5:$N$215,9,0)*$H310</f>
        <v>6.9269078046024166</v>
      </c>
      <c r="Q310" s="384">
        <f>VLOOKUP($A310,'8.Non-elective admissions - CCG'!$D$5:$N$215,10,0)*$H310</f>
        <v>6.8849163654377552</v>
      </c>
      <c r="R310" s="384">
        <f>VLOOKUP($A310,'8.Non-elective admissions - CCG'!$D$5:$Q$215,11,0)*$H310</f>
        <v>6.664881224214934</v>
      </c>
      <c r="S310" s="384">
        <f>VLOOKUP($A310,'8.Non-elective admissions - CCG'!$D$5:$Q$215,12,0)*$H310</f>
        <v>6.5204306734885016</v>
      </c>
      <c r="T310" s="384">
        <f>VLOOKUP($A310,'8.Non-elective admissions - CCG'!$D$5:$Q$215,13,0)*$H310</f>
        <v>6.574179715619267</v>
      </c>
      <c r="U310" s="384">
        <f>VLOOKUP($A310,'8.Non-elective admissions - CCG'!$D$5:$Q$215,14,0)*$H310</f>
        <v>6.5305086188880201</v>
      </c>
    </row>
    <row r="311" spans="1:21">
      <c r="A311" s="395" t="s">
        <v>266</v>
      </c>
      <c r="B311" s="395" t="s">
        <v>265</v>
      </c>
      <c r="C311" s="395" t="s">
        <v>788</v>
      </c>
      <c r="D311" s="395" t="s">
        <v>480</v>
      </c>
      <c r="E311" s="537">
        <f>COUNTIF($D$5:D311,D311)</f>
        <v>1</v>
      </c>
      <c r="F311" s="537" t="str">
        <f t="shared" si="8"/>
        <v>Warrington1</v>
      </c>
      <c r="G311" s="541" t="str">
        <f t="shared" si="9"/>
        <v>NHS Halton CCG</v>
      </c>
      <c r="H311" s="546">
        <v>2.9800376181372051E-3</v>
      </c>
      <c r="I311" s="546">
        <v>1.7995699728895953E-3</v>
      </c>
      <c r="J311" s="384">
        <f>VLOOKUP($A311,'8.Non-elective admissions - CCG'!$D$5:$N$215,3,0)*$H311</f>
        <v>13.267127475946838</v>
      </c>
      <c r="K311" s="384">
        <f>VLOOKUP($A311,'8.Non-elective admissions - CCG'!$D$5:$N$215,4,0)*$H311</f>
        <v>12.265834836252736</v>
      </c>
      <c r="L311" s="384">
        <f>VLOOKUP($A311,'8.Non-elective admissions - CCG'!$D$5:$N$215,5,0)*$H311</f>
        <v>12.435696980486556</v>
      </c>
      <c r="M311" s="384">
        <f>VLOOKUP($A311,'8.Non-elective admissions - CCG'!$D$5:$N$215,6,0)*$H311</f>
        <v>12.513177958558124</v>
      </c>
      <c r="N311" s="384">
        <f>VLOOKUP($A311,'8.Non-elective admissions - CCG'!$D$5:$N$215,7,0)*$H311</f>
        <v>12.465497356667928</v>
      </c>
      <c r="O311" s="384">
        <f>VLOOKUP($A311,'8.Non-elective admissions - CCG'!$D$5:$N$215,8,0)*$H311</f>
        <v>12.197293971035581</v>
      </c>
      <c r="P311" s="384">
        <f>VLOOKUP($A311,'8.Non-elective admissions - CCG'!$D$5:$N$215,9,0)*$H311</f>
        <v>12.289675137197834</v>
      </c>
      <c r="Q311" s="384">
        <f>VLOOKUP($A311,'8.Non-elective admissions - CCG'!$D$5:$N$215,10,0)*$H311</f>
        <v>12.215174196744403</v>
      </c>
      <c r="R311" s="384">
        <f>VLOOKUP($A311,'8.Non-elective admissions - CCG'!$D$5:$Q$215,11,0)*$H311</f>
        <v>11.824789268768431</v>
      </c>
      <c r="S311" s="384">
        <f>VLOOKUP($A311,'8.Non-elective admissions - CCG'!$D$5:$Q$215,12,0)*$H311</f>
        <v>11.56850603360863</v>
      </c>
      <c r="T311" s="384">
        <f>VLOOKUP($A311,'8.Non-elective admissions - CCG'!$D$5:$Q$215,13,0)*$H311</f>
        <v>11.66386723738902</v>
      </c>
      <c r="U311" s="384">
        <f>VLOOKUP($A311,'8.Non-elective admissions - CCG'!$D$5:$Q$215,14,0)*$H311</f>
        <v>11.586386259317454</v>
      </c>
    </row>
    <row r="312" spans="1:21">
      <c r="A312" s="395" t="s">
        <v>269</v>
      </c>
      <c r="B312" s="395" t="s">
        <v>268</v>
      </c>
      <c r="C312" s="395" t="s">
        <v>729</v>
      </c>
      <c r="D312" s="395" t="s">
        <v>303</v>
      </c>
      <c r="E312" s="537">
        <f>COUNTIF($D$5:D312,D312)</f>
        <v>1</v>
      </c>
      <c r="F312" s="537" t="str">
        <f t="shared" si="8"/>
        <v>Middlesbrough1</v>
      </c>
      <c r="G312" s="541" t="str">
        <f t="shared" si="9"/>
        <v>NHS Hambleton, Richmondshire and Whitby CCG</v>
      </c>
      <c r="H312" s="546">
        <v>1.990252684731316E-3</v>
      </c>
      <c r="I312" s="546">
        <v>1.8681964312827182E-3</v>
      </c>
      <c r="J312" s="384">
        <f>VLOOKUP($A312,'8.Non-elective admissions - CCG'!$D$5:$N$215,3,0)*$H312</f>
        <v>7.0096699556236945</v>
      </c>
      <c r="K312" s="384">
        <f>VLOOKUP($A312,'8.Non-elective admissions - CCG'!$D$5:$N$215,4,0)*$H312</f>
        <v>6.4464284458447327</v>
      </c>
      <c r="L312" s="384">
        <f>VLOOKUP($A312,'8.Non-elective admissions - CCG'!$D$5:$N$215,5,0)*$H312</f>
        <v>6.898215805278741</v>
      </c>
      <c r="M312" s="384">
        <f>VLOOKUP($A312,'8.Non-elective admissions - CCG'!$D$5:$N$215,6,0)*$H312</f>
        <v>7.075348294219828</v>
      </c>
      <c r="N312" s="384">
        <f>VLOOKUP($A312,'8.Non-elective admissions - CCG'!$D$5:$N$215,7,0)*$H312</f>
        <v>6.2055571965301644</v>
      </c>
      <c r="O312" s="384">
        <f>VLOOKUP($A312,'8.Non-elective admissions - CCG'!$D$5:$N$215,8,0)*$H312</f>
        <v>6.584422976299531</v>
      </c>
      <c r="P312" s="384">
        <f>VLOOKUP($A312,'8.Non-elective admissions - CCG'!$D$5:$N$215,9,0)*$H312</f>
        <v>6.4911185909526976</v>
      </c>
      <c r="Q312" s="384">
        <f>VLOOKUP($A312,'8.Non-elective admissions - CCG'!$D$5:$N$215,10,0)*$H312</f>
        <v>6.3865177288989141</v>
      </c>
      <c r="R312" s="384">
        <f>VLOOKUP($A312,'8.Non-elective admissions - CCG'!$D$5:$Q$215,11,0)*$H312</f>
        <v>6.3818390733162227</v>
      </c>
      <c r="S312" s="384">
        <f>VLOOKUP($A312,'8.Non-elective admissions - CCG'!$D$5:$Q$215,12,0)*$H312</f>
        <v>6.4519691730364714</v>
      </c>
      <c r="T312" s="384">
        <f>VLOOKUP($A312,'8.Non-elective admissions - CCG'!$D$5:$Q$215,13,0)*$H312</f>
        <v>6.4519691730364714</v>
      </c>
      <c r="U312" s="384">
        <f>VLOOKUP($A312,'8.Non-elective admissions - CCG'!$D$5:$Q$215,14,0)*$H312</f>
        <v>6.3818390733343344</v>
      </c>
    </row>
    <row r="313" spans="1:21">
      <c r="A313" s="395" t="s">
        <v>269</v>
      </c>
      <c r="B313" s="395" t="s">
        <v>268</v>
      </c>
      <c r="C313" s="395" t="s">
        <v>738</v>
      </c>
      <c r="D313" s="395" t="s">
        <v>330</v>
      </c>
      <c r="E313" s="537">
        <f>COUNTIF($D$5:D313,D313)</f>
        <v>8</v>
      </c>
      <c r="F313" s="537" t="str">
        <f t="shared" si="8"/>
        <v>North Yorkshire8</v>
      </c>
      <c r="G313" s="541" t="str">
        <f t="shared" si="9"/>
        <v>NHS Hambleton, Richmondshire and Whitby CCG</v>
      </c>
      <c r="H313" s="546">
        <v>0.98698248155675739</v>
      </c>
      <c r="I313" s="546">
        <v>0.2300929933632381</v>
      </c>
      <c r="J313" s="384">
        <f>VLOOKUP($A313,'8.Non-elective admissions - CCG'!$D$5:$N$215,3,0)*$H313</f>
        <v>3476.1523000428997</v>
      </c>
      <c r="K313" s="384">
        <f>VLOOKUP($A313,'8.Non-elective admissions - CCG'!$D$5:$N$215,4,0)*$H313</f>
        <v>3196.836257762337</v>
      </c>
      <c r="L313" s="384">
        <f>VLOOKUP($A313,'8.Non-elective admissions - CCG'!$D$5:$N$215,5,0)*$H313</f>
        <v>3420.8812810757213</v>
      </c>
      <c r="M313" s="384">
        <f>VLOOKUP($A313,'8.Non-elective admissions - CCG'!$D$5:$N$215,6,0)*$H313</f>
        <v>3508.7227219342726</v>
      </c>
      <c r="N313" s="384">
        <f>VLOOKUP($A313,'8.Non-elective admissions - CCG'!$D$5:$N$215,7,0)*$H313</f>
        <v>3077.3862476163827</v>
      </c>
      <c r="O313" s="384">
        <f>VLOOKUP($A313,'8.Non-elective admissions - CCG'!$D$5:$N$215,8,0)*$H313</f>
        <v>3265.2688669251897</v>
      </c>
      <c r="P313" s="384">
        <f>VLOOKUP($A313,'8.Non-elective admissions - CCG'!$D$5:$N$215,9,0)*$H313</f>
        <v>3218.9984639275035</v>
      </c>
      <c r="Q313" s="384">
        <f>VLOOKUP($A313,'8.Non-elective admissions - CCG'!$D$5:$N$215,10,0)*$H313</f>
        <v>3167.1260463220192</v>
      </c>
      <c r="R313" s="384">
        <f>VLOOKUP($A313,'8.Non-elective admissions - CCG'!$D$5:$Q$215,11,0)*$H313</f>
        <v>3164.8058629941534</v>
      </c>
      <c r="S313" s="384">
        <f>VLOOKUP($A313,'8.Non-elective admissions - CCG'!$D$5:$Q$215,12,0)*$H313</f>
        <v>3199.5839494073657</v>
      </c>
      <c r="T313" s="384">
        <f>VLOOKUP($A313,'8.Non-elective admissions - CCG'!$D$5:$Q$215,13,0)*$H313</f>
        <v>3199.5839494073657</v>
      </c>
      <c r="U313" s="384">
        <f>VLOOKUP($A313,'8.Non-elective admissions - CCG'!$D$5:$Q$215,14,0)*$H313</f>
        <v>3164.8058630031346</v>
      </c>
    </row>
    <row r="314" spans="1:21">
      <c r="A314" s="395" t="s">
        <v>269</v>
      </c>
      <c r="B314" s="395" t="s">
        <v>268</v>
      </c>
      <c r="C314" s="395" t="s">
        <v>750</v>
      </c>
      <c r="D314" s="395" t="s">
        <v>366</v>
      </c>
      <c r="E314" s="537">
        <f>COUNTIF($D$5:D314,D314)</f>
        <v>1</v>
      </c>
      <c r="F314" s="537" t="str">
        <f t="shared" si="8"/>
        <v>Redcar and Cleveland1</v>
      </c>
      <c r="G314" s="541" t="str">
        <f t="shared" si="9"/>
        <v>NHS Hambleton, Richmondshire and Whitby CCG</v>
      </c>
      <c r="H314" s="546">
        <v>9.5433671137116448E-3</v>
      </c>
      <c r="I314" s="546">
        <v>9.6301237651867846E-3</v>
      </c>
      <c r="J314" s="384">
        <f>VLOOKUP($A314,'8.Non-elective admissions - CCG'!$D$5:$N$215,3,0)*$H314</f>
        <v>33.611738974492411</v>
      </c>
      <c r="K314" s="384">
        <f>VLOOKUP($A314,'8.Non-elective admissions - CCG'!$D$5:$N$215,4,0)*$H314</f>
        <v>30.910966081312019</v>
      </c>
      <c r="L314" s="384">
        <f>VLOOKUP($A314,'8.Non-elective admissions - CCG'!$D$5:$N$215,5,0)*$H314</f>
        <v>33.077310416124561</v>
      </c>
      <c r="M314" s="384">
        <f>VLOOKUP($A314,'8.Non-elective admissions - CCG'!$D$5:$N$215,6,0)*$H314</f>
        <v>33.926670089244894</v>
      </c>
      <c r="N314" s="384">
        <f>VLOOKUP($A314,'8.Non-elective admissions - CCG'!$D$5:$N$215,7,0)*$H314</f>
        <v>29.755975673821315</v>
      </c>
      <c r="O314" s="384">
        <f>VLOOKUP($A314,'8.Non-elective admissions - CCG'!$D$5:$N$215,8,0)*$H314</f>
        <v>31.572657169040504</v>
      </c>
      <c r="P314" s="384">
        <f>VLOOKUP($A314,'8.Non-elective admissions - CCG'!$D$5:$N$215,9,0)*$H314</f>
        <v>31.125257695840318</v>
      </c>
      <c r="Q314" s="384">
        <f>VLOOKUP($A314,'8.Non-elective admissions - CCG'!$D$5:$N$215,10,0)*$H314</f>
        <v>30.623691018077121</v>
      </c>
      <c r="R314" s="384">
        <f>VLOOKUP($A314,'8.Non-elective admissions - CCG'!$D$5:$Q$215,11,0)*$H314</f>
        <v>30.60125661657284</v>
      </c>
      <c r="S314" s="384">
        <f>VLOOKUP($A314,'8.Non-elective admissions - CCG'!$D$5:$Q$215,12,0)*$H314</f>
        <v>30.937534161874527</v>
      </c>
      <c r="T314" s="384">
        <f>VLOOKUP($A314,'8.Non-elective admissions - CCG'!$D$5:$Q$215,13,0)*$H314</f>
        <v>30.937534161874527</v>
      </c>
      <c r="U314" s="384">
        <f>VLOOKUP($A314,'8.Non-elective admissions - CCG'!$D$5:$Q$215,14,0)*$H314</f>
        <v>30.601256616659683</v>
      </c>
    </row>
    <row r="315" spans="1:21">
      <c r="A315" s="395" t="s">
        <v>269</v>
      </c>
      <c r="B315" s="395" t="s">
        <v>268</v>
      </c>
      <c r="C315" s="395" t="s">
        <v>771</v>
      </c>
      <c r="D315" s="395" t="s">
        <v>429</v>
      </c>
      <c r="E315" s="537">
        <f>COUNTIF($D$5:D315,D315)</f>
        <v>3</v>
      </c>
      <c r="F315" s="537" t="str">
        <f t="shared" si="8"/>
        <v>Stockton-on-Tees3</v>
      </c>
      <c r="G315" s="541" t="str">
        <f t="shared" si="9"/>
        <v>NHS Hambleton, Richmondshire and Whitby CCG</v>
      </c>
      <c r="H315" s="546">
        <v>1.4838986447996737E-3</v>
      </c>
      <c r="I315" s="546">
        <v>1.0670361679747554E-3</v>
      </c>
      <c r="J315" s="384">
        <f>VLOOKUP($A315,'8.Non-elective admissions - CCG'!$D$5:$N$215,3,0)*$H315</f>
        <v>5.2262910269844509</v>
      </c>
      <c r="K315" s="384">
        <f>VLOOKUP($A315,'8.Non-elective admissions - CCG'!$D$5:$N$215,4,0)*$H315</f>
        <v>4.8063477105061434</v>
      </c>
      <c r="L315" s="384">
        <f>VLOOKUP($A315,'8.Non-elective admissions - CCG'!$D$5:$N$215,5,0)*$H315</f>
        <v>5.1431927028756688</v>
      </c>
      <c r="M315" s="384">
        <f>VLOOKUP($A315,'8.Non-elective admissions - CCG'!$D$5:$N$215,6,0)*$H315</f>
        <v>5.2752596822628401</v>
      </c>
      <c r="N315" s="384">
        <f>VLOOKUP($A315,'8.Non-elective admissions - CCG'!$D$5:$N$215,7,0)*$H315</f>
        <v>4.6267581924659531</v>
      </c>
      <c r="O315" s="384">
        <f>VLOOKUP($A315,'8.Non-elective admissions - CCG'!$D$5:$N$215,8,0)*$H315</f>
        <v>4.9092340918699682</v>
      </c>
      <c r="P315" s="384">
        <f>VLOOKUP($A315,'8.Non-elective admissions - CCG'!$D$5:$N$215,9,0)*$H315</f>
        <v>4.8396679247032477</v>
      </c>
      <c r="Q315" s="384">
        <f>VLOOKUP($A315,'8.Non-elective admissions - CCG'!$D$5:$N$215,10,0)*$H315</f>
        <v>4.7616792961048438</v>
      </c>
      <c r="R315" s="384">
        <f>VLOOKUP($A315,'8.Non-elective admissions - CCG'!$D$5:$Q$215,11,0)*$H315</f>
        <v>4.7581909698576785</v>
      </c>
      <c r="S315" s="384">
        <f>VLOOKUP($A315,'8.Non-elective admissions - CCG'!$D$5:$Q$215,12,0)*$H315</f>
        <v>4.8104787827233055</v>
      </c>
      <c r="T315" s="384">
        <f>VLOOKUP($A315,'8.Non-elective admissions - CCG'!$D$5:$Q$215,13,0)*$H315</f>
        <v>4.8104787827233055</v>
      </c>
      <c r="U315" s="384">
        <f>VLOOKUP($A315,'8.Non-elective admissions - CCG'!$D$5:$Q$215,14,0)*$H315</f>
        <v>4.7581909698711815</v>
      </c>
    </row>
    <row r="316" spans="1:21">
      <c r="A316" s="395" t="s">
        <v>272</v>
      </c>
      <c r="B316" s="395" t="s">
        <v>271</v>
      </c>
      <c r="C316" s="395" t="s">
        <v>663</v>
      </c>
      <c r="D316" s="395" t="s">
        <v>72</v>
      </c>
      <c r="E316" s="537">
        <f>COUNTIF($D$5:D316,D316)</f>
        <v>6</v>
      </c>
      <c r="F316" s="537" t="str">
        <f t="shared" si="8"/>
        <v>Brent6</v>
      </c>
      <c r="G316" s="541" t="str">
        <f t="shared" si="9"/>
        <v>NHS Hammersmith and Fulham CCG</v>
      </c>
      <c r="H316" s="546">
        <v>1.7386293639597033E-3</v>
      </c>
      <c r="I316" s="546">
        <v>9.5843933215947338E-4</v>
      </c>
      <c r="J316" s="384">
        <f>VLOOKUP($A316,'8.Non-elective admissions - CCG'!$D$5:$N$215,3,0)*$H316</f>
        <v>7.8377411727303423</v>
      </c>
      <c r="K316" s="384">
        <f>VLOOKUP($A316,'8.Non-elective admissions - CCG'!$D$5:$N$215,4,0)*$H316</f>
        <v>8.4532159675720777</v>
      </c>
      <c r="L316" s="384">
        <f>VLOOKUP($A316,'8.Non-elective admissions - CCG'!$D$5:$N$215,5,0)*$H316</f>
        <v>8.4080116041091255</v>
      </c>
      <c r="M316" s="384">
        <f>VLOOKUP($A316,'8.Non-elective admissions - CCG'!$D$5:$N$215,6,0)*$H316</f>
        <v>8.3036938422715423</v>
      </c>
      <c r="N316" s="384">
        <f>VLOOKUP($A316,'8.Non-elective admissions - CCG'!$D$5:$N$215,7,0)*$H316</f>
        <v>9.0095072800633851</v>
      </c>
      <c r="O316" s="384">
        <f>VLOOKUP($A316,'8.Non-elective admissions - CCG'!$D$5:$N$215,8,0)*$H316</f>
        <v>9.2585120872742248</v>
      </c>
      <c r="P316" s="384">
        <f>VLOOKUP($A316,'8.Non-elective admissions - CCG'!$D$5:$N$215,9,0)*$H316</f>
        <v>9.3091940162835041</v>
      </c>
      <c r="Q316" s="384">
        <f>VLOOKUP($A316,'8.Non-elective admissions - CCG'!$D$5:$N$215,10,0)*$H316</f>
        <v>8.8735112525582682</v>
      </c>
      <c r="R316" s="384">
        <f>VLOOKUP($A316,'8.Non-elective admissions - CCG'!$D$5:$Q$215,11,0)*$H316</f>
        <v>8.8817251867039548</v>
      </c>
      <c r="S316" s="384">
        <f>VLOOKUP($A316,'8.Non-elective admissions - CCG'!$D$5:$Q$215,12,0)*$H316</f>
        <v>9.1309374868112538</v>
      </c>
      <c r="T316" s="384">
        <f>VLOOKUP($A316,'8.Non-elective admissions - CCG'!$D$5:$Q$215,13,0)*$H316</f>
        <v>9.1853410359498859</v>
      </c>
      <c r="U316" s="384">
        <f>VLOOKUP($A316,'8.Non-elective admissions - CCG'!$D$5:$Q$215,14,0)*$H316</f>
        <v>8.7472116199554897</v>
      </c>
    </row>
    <row r="317" spans="1:21">
      <c r="A317" s="395" t="s">
        <v>272</v>
      </c>
      <c r="B317" s="395" t="s">
        <v>271</v>
      </c>
      <c r="C317" s="395" t="s">
        <v>688</v>
      </c>
      <c r="D317" s="395" t="s">
        <v>166</v>
      </c>
      <c r="E317" s="537">
        <f>COUNTIF($D$5:D317,D317)</f>
        <v>4</v>
      </c>
      <c r="F317" s="537" t="str">
        <f t="shared" si="8"/>
        <v>Ealing4</v>
      </c>
      <c r="G317" s="541" t="str">
        <f t="shared" si="9"/>
        <v>NHS Hammersmith and Fulham CCG</v>
      </c>
      <c r="H317" s="546">
        <v>5.4667474715361528E-2</v>
      </c>
      <c r="I317" s="546">
        <v>2.7952258913354348E-2</v>
      </c>
      <c r="J317" s="384">
        <f>VLOOKUP($A317,'8.Non-elective admissions - CCG'!$D$5:$N$215,3,0)*$H317</f>
        <v>246.44097601684976</v>
      </c>
      <c r="K317" s="384">
        <f>VLOOKUP($A317,'8.Non-elective admissions - CCG'!$D$5:$N$215,4,0)*$H317</f>
        <v>265.79326206608772</v>
      </c>
      <c r="L317" s="384">
        <f>VLOOKUP($A317,'8.Non-elective admissions - CCG'!$D$5:$N$215,5,0)*$H317</f>
        <v>264.37190772348833</v>
      </c>
      <c r="M317" s="384">
        <f>VLOOKUP($A317,'8.Non-elective admissions - CCG'!$D$5:$N$215,6,0)*$H317</f>
        <v>261.09185924056663</v>
      </c>
      <c r="N317" s="384">
        <f>VLOOKUP($A317,'8.Non-elective admissions - CCG'!$D$5:$N$215,7,0)*$H317</f>
        <v>283.28465033456445</v>
      </c>
      <c r="O317" s="384">
        <f>VLOOKUP($A317,'8.Non-elective admissions - CCG'!$D$5:$N$215,8,0)*$H317</f>
        <v>291.11407291557953</v>
      </c>
      <c r="P317" s="384">
        <f>VLOOKUP($A317,'8.Non-elective admissions - CCG'!$D$5:$N$215,9,0)*$H317</f>
        <v>292.70765756914278</v>
      </c>
      <c r="Q317" s="384">
        <f>VLOOKUP($A317,'8.Non-elective admissions - CCG'!$D$5:$N$215,10,0)*$H317</f>
        <v>279.00854666972498</v>
      </c>
      <c r="R317" s="384">
        <f>VLOOKUP($A317,'8.Non-elective admissions - CCG'!$D$5:$Q$215,11,0)*$H317</f>
        <v>279.26681622764863</v>
      </c>
      <c r="S317" s="384">
        <f>VLOOKUP($A317,'8.Non-elective admissions - CCG'!$D$5:$Q$215,12,0)*$H317</f>
        <v>287.10276297816523</v>
      </c>
      <c r="T317" s="384">
        <f>VLOOKUP($A317,'8.Non-elective admissions - CCG'!$D$5:$Q$215,13,0)*$H317</f>
        <v>288.81336600179571</v>
      </c>
      <c r="U317" s="384">
        <f>VLOOKUP($A317,'8.Non-elective admissions - CCG'!$D$5:$Q$215,14,0)*$H317</f>
        <v>275.03732536460046</v>
      </c>
    </row>
    <row r="318" spans="1:21">
      <c r="A318" s="395" t="s">
        <v>272</v>
      </c>
      <c r="B318" s="395" t="s">
        <v>271</v>
      </c>
      <c r="C318" s="395" t="s">
        <v>698</v>
      </c>
      <c r="D318" s="395" t="s">
        <v>202</v>
      </c>
      <c r="E318" s="537">
        <f>COUNTIF($D$5:D318,D318)</f>
        <v>5</v>
      </c>
      <c r="F318" s="537" t="str">
        <f t="shared" si="8"/>
        <v>Hammersmith and Fulham5</v>
      </c>
      <c r="G318" s="541" t="str">
        <f t="shared" si="9"/>
        <v>NHS Hammersmith and Fulham CCG</v>
      </c>
      <c r="H318" s="546">
        <v>0.91387326882190467</v>
      </c>
      <c r="I318" s="546">
        <v>0.8819990123835596</v>
      </c>
      <c r="J318" s="384">
        <f>VLOOKUP($A318,'8.Non-elective admissions - CCG'!$D$5:$N$215,3,0)*$H318</f>
        <v>4119.7406958491465</v>
      </c>
      <c r="K318" s="384">
        <f>VLOOKUP($A318,'8.Non-elective admissions - CCG'!$D$5:$N$215,4,0)*$H318</f>
        <v>4443.2518330121002</v>
      </c>
      <c r="L318" s="384">
        <f>VLOOKUP($A318,'8.Non-elective admissions - CCG'!$D$5:$N$215,5,0)*$H318</f>
        <v>4419.4911280227307</v>
      </c>
      <c r="M318" s="384">
        <f>VLOOKUP($A318,'8.Non-elective admissions - CCG'!$D$5:$N$215,6,0)*$H318</f>
        <v>4364.6587318934171</v>
      </c>
      <c r="N318" s="384">
        <f>VLOOKUP($A318,'8.Non-elective admissions - CCG'!$D$5:$N$215,7,0)*$H318</f>
        <v>4735.6544408950313</v>
      </c>
      <c r="O318" s="384">
        <f>VLOOKUP($A318,'8.Non-elective admissions - CCG'!$D$5:$N$215,8,0)*$H318</f>
        <v>4866.5384819881119</v>
      </c>
      <c r="P318" s="384">
        <f>VLOOKUP($A318,'8.Non-elective admissions - CCG'!$D$5:$N$215,9,0)*$H318</f>
        <v>4893.1783519305045</v>
      </c>
      <c r="Q318" s="384">
        <f>VLOOKUP($A318,'8.Non-elective admissions - CCG'!$D$5:$N$215,10,0)*$H318</f>
        <v>4664.1710432375558</v>
      </c>
      <c r="R318" s="384">
        <f>VLOOKUP($A318,'8.Non-elective admissions - CCG'!$D$5:$Q$215,11,0)*$H318</f>
        <v>4668.488521708362</v>
      </c>
      <c r="S318" s="384">
        <f>VLOOKUP($A318,'8.Non-elective admissions - CCG'!$D$5:$Q$215,12,0)*$H318</f>
        <v>4799.4816269961893</v>
      </c>
      <c r="T318" s="384">
        <f>VLOOKUP($A318,'8.Non-elective admissions - CCG'!$D$5:$Q$215,13,0)*$H318</f>
        <v>4828.0776868105731</v>
      </c>
      <c r="U318" s="384">
        <f>VLOOKUP($A318,'8.Non-elective admissions - CCG'!$D$5:$Q$215,14,0)*$H318</f>
        <v>4597.7843477806045</v>
      </c>
    </row>
    <row r="319" spans="1:21">
      <c r="A319" s="395" t="s">
        <v>272</v>
      </c>
      <c r="B319" s="395" t="s">
        <v>271</v>
      </c>
      <c r="C319" s="395" t="s">
        <v>706</v>
      </c>
      <c r="D319" s="395" t="s">
        <v>231</v>
      </c>
      <c r="E319" s="537">
        <f>COUNTIF($D$5:D319,D319)</f>
        <v>3</v>
      </c>
      <c r="F319" s="537" t="str">
        <f t="shared" si="8"/>
        <v>Hillingdon3</v>
      </c>
      <c r="G319" s="541" t="str">
        <f t="shared" si="9"/>
        <v>NHS Hammersmith and Fulham CCG</v>
      </c>
      <c r="H319" s="546">
        <v>4.7141693325650248E-3</v>
      </c>
      <c r="I319" s="546">
        <v>3.0718435916940456E-3</v>
      </c>
      <c r="J319" s="384">
        <f>VLOOKUP($A319,'8.Non-elective admissions - CCG'!$D$5:$N$215,3,0)*$H319</f>
        <v>21.251475351203133</v>
      </c>
      <c r="K319" s="384">
        <f>VLOOKUP($A319,'8.Non-elective admissions - CCG'!$D$5:$N$215,4,0)*$H319</f>
        <v>22.92029129493115</v>
      </c>
      <c r="L319" s="384">
        <f>VLOOKUP($A319,'8.Non-elective admissions - CCG'!$D$5:$N$215,5,0)*$H319</f>
        <v>22.797722892284462</v>
      </c>
      <c r="M319" s="384">
        <f>VLOOKUP($A319,'8.Non-elective admissions - CCG'!$D$5:$N$215,6,0)*$H319</f>
        <v>22.514872732330559</v>
      </c>
      <c r="N319" s="384">
        <f>VLOOKUP($A319,'8.Non-elective admissions - CCG'!$D$5:$N$215,7,0)*$H319</f>
        <v>24.428635453657581</v>
      </c>
      <c r="O319" s="384">
        <f>VLOOKUP($A319,'8.Non-elective admissions - CCG'!$D$5:$N$215,8,0)*$H319</f>
        <v>25.103794202352116</v>
      </c>
      <c r="P319" s="384">
        <f>VLOOKUP($A319,'8.Non-elective admissions - CCG'!$D$5:$N$215,9,0)*$H319</f>
        <v>25.241214632722993</v>
      </c>
      <c r="Q319" s="384">
        <f>VLOOKUP($A319,'8.Non-elective admissions - CCG'!$D$5:$N$215,10,0)*$H319</f>
        <v>24.059891939079421</v>
      </c>
      <c r="R319" s="384">
        <f>VLOOKUP($A319,'8.Non-elective admissions - CCG'!$D$5:$Q$215,11,0)*$H319</f>
        <v>24.082163434805871</v>
      </c>
      <c r="S319" s="384">
        <f>VLOOKUP($A319,'8.Non-elective admissions - CCG'!$D$5:$Q$215,12,0)*$H319</f>
        <v>24.757884785668228</v>
      </c>
      <c r="T319" s="384">
        <f>VLOOKUP($A319,'8.Non-elective admissions - CCG'!$D$5:$Q$215,13,0)*$H319</f>
        <v>24.905396123189838</v>
      </c>
      <c r="U319" s="384">
        <f>VLOOKUP($A319,'8.Non-elective admissions - CCG'!$D$5:$Q$215,14,0)*$H319</f>
        <v>23.71743950667932</v>
      </c>
    </row>
    <row r="320" spans="1:21">
      <c r="A320" s="395" t="s">
        <v>272</v>
      </c>
      <c r="B320" s="395" t="s">
        <v>271</v>
      </c>
      <c r="C320" s="395" t="s">
        <v>707</v>
      </c>
      <c r="D320" s="395" t="s">
        <v>234</v>
      </c>
      <c r="E320" s="537">
        <f>COUNTIF($D$5:D320,D320)</f>
        <v>2</v>
      </c>
      <c r="F320" s="537" t="str">
        <f t="shared" si="8"/>
        <v>Hounslow2</v>
      </c>
      <c r="G320" s="541" t="str">
        <f t="shared" si="9"/>
        <v>NHS Hammersmith and Fulham CCG</v>
      </c>
      <c r="H320" s="546">
        <v>9.0607427424642829E-3</v>
      </c>
      <c r="I320" s="546">
        <v>6.1234561269811428E-3</v>
      </c>
      <c r="J320" s="384">
        <f>VLOOKUP($A320,'8.Non-elective admissions - CCG'!$D$5:$N$215,3,0)*$H320</f>
        <v>40.845828283028986</v>
      </c>
      <c r="K320" s="384">
        <f>VLOOKUP($A320,'8.Non-elective admissions - CCG'!$D$5:$N$215,4,0)*$H320</f>
        <v>44.053331213861341</v>
      </c>
      <c r="L320" s="384">
        <f>VLOOKUP($A320,'8.Non-elective admissions - CCG'!$D$5:$N$215,5,0)*$H320</f>
        <v>43.817751902557269</v>
      </c>
      <c r="M320" s="384">
        <f>VLOOKUP($A320,'8.Non-elective admissions - CCG'!$D$5:$N$215,6,0)*$H320</f>
        <v>43.274107338009415</v>
      </c>
      <c r="N320" s="384">
        <f>VLOOKUP($A320,'8.Non-elective admissions - CCG'!$D$5:$N$215,7,0)*$H320</f>
        <v>46.952403653816042</v>
      </c>
      <c r="O320" s="384">
        <f>VLOOKUP($A320,'8.Non-elective admissions - CCG'!$D$5:$N$215,8,0)*$H320</f>
        <v>48.250074420537672</v>
      </c>
      <c r="P320" s="384">
        <f>VLOOKUP($A320,'8.Non-elective admissions - CCG'!$D$5:$N$215,9,0)*$H320</f>
        <v>48.514199673431754</v>
      </c>
      <c r="Q320" s="384">
        <f>VLOOKUP($A320,'8.Non-elective admissions - CCG'!$D$5:$N$215,10,0)*$H320</f>
        <v>46.24367007047509</v>
      </c>
      <c r="R320" s="384">
        <f>VLOOKUP($A320,'8.Non-elective admissions - CCG'!$D$5:$Q$215,11,0)*$H320</f>
        <v>46.286476401565757</v>
      </c>
      <c r="S320" s="384">
        <f>VLOOKUP($A320,'8.Non-elective admissions - CCG'!$D$5:$Q$215,12,0)*$H320</f>
        <v>47.58522850269636</v>
      </c>
      <c r="T320" s="384">
        <f>VLOOKUP($A320,'8.Non-elective admissions - CCG'!$D$5:$Q$215,13,0)*$H320</f>
        <v>47.868748713064548</v>
      </c>
      <c r="U320" s="384">
        <f>VLOOKUP($A320,'8.Non-elective admissions - CCG'!$D$5:$Q$215,14,0)*$H320</f>
        <v>45.585468556568046</v>
      </c>
    </row>
    <row r="321" spans="1:21">
      <c r="A321" s="395" t="s">
        <v>272</v>
      </c>
      <c r="B321" s="395" t="s">
        <v>271</v>
      </c>
      <c r="C321" s="395" t="s">
        <v>711</v>
      </c>
      <c r="D321" s="395" t="s">
        <v>248</v>
      </c>
      <c r="E321" s="537">
        <f>COUNTIF($D$5:D321,D321)</f>
        <v>4</v>
      </c>
      <c r="F321" s="537" t="str">
        <f t="shared" si="8"/>
        <v>Kensington and Chelsea4</v>
      </c>
      <c r="G321" s="541" t="str">
        <f t="shared" si="9"/>
        <v>NHS Hammersmith and Fulham CCG</v>
      </c>
      <c r="H321" s="546">
        <v>9.4780137898146117E-3</v>
      </c>
      <c r="I321" s="546">
        <v>1.1897412873898647E-2</v>
      </c>
      <c r="J321" s="384">
        <f>VLOOKUP($A321,'8.Non-elective admissions - CCG'!$D$5:$N$215,3,0)*$H321</f>
        <v>42.72688616448427</v>
      </c>
      <c r="K321" s="384">
        <f>VLOOKUP($A321,'8.Non-elective admissions - CCG'!$D$5:$N$215,4,0)*$H321</f>
        <v>46.082103046078643</v>
      </c>
      <c r="L321" s="384">
        <f>VLOOKUP($A321,'8.Non-elective admissions - CCG'!$D$5:$N$215,5,0)*$H321</f>
        <v>45.83567468754346</v>
      </c>
      <c r="M321" s="384">
        <f>VLOOKUP($A321,'8.Non-elective admissions - CCG'!$D$5:$N$215,6,0)*$H321</f>
        <v>45.266993860154585</v>
      </c>
      <c r="N321" s="384">
        <f>VLOOKUP($A321,'8.Non-elective admissions - CCG'!$D$5:$N$215,7,0)*$H321</f>
        <v>49.114685401031259</v>
      </c>
      <c r="O321" s="384">
        <f>VLOOKUP($A321,'8.Non-elective admissions - CCG'!$D$5:$N$215,8,0)*$H321</f>
        <v>50.472117321483488</v>
      </c>
      <c r="P321" s="384">
        <f>VLOOKUP($A321,'8.Non-elective admissions - CCG'!$D$5:$N$215,9,0)*$H321</f>
        <v>50.748406237339793</v>
      </c>
      <c r="Q321" s="384">
        <f>VLOOKUP($A321,'8.Non-elective admissions - CCG'!$D$5:$N$215,10,0)*$H321</f>
        <v>48.373312771089076</v>
      </c>
      <c r="R321" s="384">
        <f>VLOOKUP($A321,'8.Non-elective admissions - CCG'!$D$5:$Q$215,11,0)*$H321</f>
        <v>48.418090446374713</v>
      </c>
      <c r="S321" s="384">
        <f>VLOOKUP($A321,'8.Non-elective admissions - CCG'!$D$5:$Q$215,12,0)*$H321</f>
        <v>49.776653499531065</v>
      </c>
      <c r="T321" s="384">
        <f>VLOOKUP($A321,'8.Non-elective admissions - CCG'!$D$5:$Q$215,13,0)*$H321</f>
        <v>50.073230561692526</v>
      </c>
      <c r="U321" s="384">
        <f>VLOOKUP($A321,'8.Non-elective admissions - CCG'!$D$5:$Q$215,14,0)*$H321</f>
        <v>47.684799345357362</v>
      </c>
    </row>
    <row r="322" spans="1:21">
      <c r="A322" s="395" t="s">
        <v>272</v>
      </c>
      <c r="B322" s="395" t="s">
        <v>271</v>
      </c>
      <c r="C322" s="395" t="s">
        <v>751</v>
      </c>
      <c r="D322" s="395" t="s">
        <v>369</v>
      </c>
      <c r="E322" s="537">
        <f>COUNTIF($D$5:D322,D322)</f>
        <v>1</v>
      </c>
      <c r="F322" s="537" t="str">
        <f t="shared" si="8"/>
        <v>Richmond upon Thames1</v>
      </c>
      <c r="G322" s="541" t="str">
        <f t="shared" si="9"/>
        <v>NHS Hammersmith and Fulham CCG</v>
      </c>
      <c r="H322" s="546">
        <v>4.0236850994495995E-3</v>
      </c>
      <c r="I322" s="546">
        <v>3.8543346990050111E-3</v>
      </c>
      <c r="J322" s="384">
        <f>VLOOKUP($A322,'8.Non-elective admissions - CCG'!$D$5:$N$215,3,0)*$H322</f>
        <v>18.138772428318795</v>
      </c>
      <c r="K322" s="384">
        <f>VLOOKUP($A322,'8.Non-elective admissions - CCG'!$D$5:$N$215,4,0)*$H322</f>
        <v>19.563156953523954</v>
      </c>
      <c r="L322" s="384">
        <f>VLOOKUP($A322,'8.Non-elective admissions - CCG'!$D$5:$N$215,5,0)*$H322</f>
        <v>19.458541140938262</v>
      </c>
      <c r="M322" s="384">
        <f>VLOOKUP($A322,'8.Non-elective admissions - CCG'!$D$5:$N$215,6,0)*$H322</f>
        <v>19.217120034971288</v>
      </c>
      <c r="N322" s="384">
        <f>VLOOKUP($A322,'8.Non-elective admissions - CCG'!$D$5:$N$215,7,0)*$H322</f>
        <v>20.850573991003838</v>
      </c>
      <c r="O322" s="384">
        <f>VLOOKUP($A322,'8.Non-elective admissions - CCG'!$D$5:$N$215,8,0)*$H322</f>
        <v>21.426842259120349</v>
      </c>
      <c r="P322" s="384">
        <f>VLOOKUP($A322,'8.Non-elective admissions - CCG'!$D$5:$N$215,9,0)*$H322</f>
        <v>21.544134723398972</v>
      </c>
      <c r="Q322" s="384">
        <f>VLOOKUP($A322,'8.Non-elective admissions - CCG'!$D$5:$N$215,10,0)*$H322</f>
        <v>20.535840327349135</v>
      </c>
      <c r="R322" s="384">
        <f>VLOOKUP($A322,'8.Non-elective admissions - CCG'!$D$5:$Q$215,11,0)*$H322</f>
        <v>20.554849717800586</v>
      </c>
      <c r="S322" s="384">
        <f>VLOOKUP($A322,'8.Non-elective admissions - CCG'!$D$5:$Q$215,12,0)*$H322</f>
        <v>21.131598183763188</v>
      </c>
      <c r="T322" s="384">
        <f>VLOOKUP($A322,'8.Non-elective admissions - CCG'!$D$5:$Q$215,13,0)*$H322</f>
        <v>21.257503540341165</v>
      </c>
      <c r="U322" s="384">
        <f>VLOOKUP($A322,'8.Non-elective admissions - CCG'!$D$5:$Q$215,14,0)*$H322</f>
        <v>20.243546891896994</v>
      </c>
    </row>
    <row r="323" spans="1:21">
      <c r="A323" s="395" t="s">
        <v>272</v>
      </c>
      <c r="B323" s="395" t="s">
        <v>271</v>
      </c>
      <c r="C323" s="395" t="s">
        <v>787</v>
      </c>
      <c r="D323" s="395" t="s">
        <v>477</v>
      </c>
      <c r="E323" s="537">
        <f>COUNTIF($D$5:D323,D323)</f>
        <v>2</v>
      </c>
      <c r="F323" s="537" t="str">
        <f t="shared" si="8"/>
        <v>Wandsworth2</v>
      </c>
      <c r="G323" s="541" t="str">
        <f t="shared" si="9"/>
        <v>NHS Hammersmith and Fulham CCG</v>
      </c>
      <c r="H323" s="546">
        <v>2.4440161344804973E-3</v>
      </c>
      <c r="I323" s="546">
        <v>1.4063973930194668E-3</v>
      </c>
      <c r="J323" s="384">
        <f>VLOOKUP($A323,'8.Non-elective admissions - CCG'!$D$5:$N$215,3,0)*$H323</f>
        <v>11.017624734238082</v>
      </c>
      <c r="K323" s="384">
        <f>VLOOKUP($A323,'8.Non-elective admissions - CCG'!$D$5:$N$215,4,0)*$H323</f>
        <v>11.882806445844178</v>
      </c>
      <c r="L323" s="384">
        <f>VLOOKUP($A323,'8.Non-elective admissions - CCG'!$D$5:$N$215,5,0)*$H323</f>
        <v>11.819262026347685</v>
      </c>
      <c r="M323" s="384">
        <f>VLOOKUP($A323,'8.Non-elective admissions - CCG'!$D$5:$N$215,6,0)*$H323</f>
        <v>11.672621058278855</v>
      </c>
      <c r="N323" s="384">
        <f>VLOOKUP($A323,'8.Non-elective admissions - CCG'!$D$5:$N$215,7,0)*$H323</f>
        <v>12.664793090831958</v>
      </c>
      <c r="O323" s="384">
        <f>VLOOKUP($A323,'8.Non-elective admissions - CCG'!$D$5:$N$215,8,0)*$H323</f>
        <v>13.014822705539768</v>
      </c>
      <c r="P323" s="384">
        <f>VLOOKUP($A323,'8.Non-elective admissions - CCG'!$D$5:$N$215,9,0)*$H323</f>
        <v>13.086067017175671</v>
      </c>
      <c r="Q323" s="384">
        <f>VLOOKUP($A323,'8.Non-elective admissions - CCG'!$D$5:$N$215,10,0)*$H323</f>
        <v>12.473621532167622</v>
      </c>
      <c r="R323" s="384">
        <f>VLOOKUP($A323,'8.Non-elective admissions - CCG'!$D$5:$Q$215,11,0)*$H323</f>
        <v>12.485167976738133</v>
      </c>
      <c r="S323" s="384">
        <f>VLOOKUP($A323,'8.Non-elective admissions - CCG'!$D$5:$Q$215,12,0)*$H323</f>
        <v>12.835489267174676</v>
      </c>
      <c r="T323" s="384">
        <f>VLOOKUP($A323,'8.Non-elective admissions - CCG'!$D$5:$Q$215,13,0)*$H323</f>
        <v>12.91196511339241</v>
      </c>
      <c r="U323" s="384">
        <f>VLOOKUP($A323,'8.Non-elective admissions - CCG'!$D$5:$Q$215,14,0)*$H323</f>
        <v>12.296080334337432</v>
      </c>
    </row>
    <row r="324" spans="1:21">
      <c r="A324" s="395" t="s">
        <v>275</v>
      </c>
      <c r="B324" s="395" t="s">
        <v>274</v>
      </c>
      <c r="C324" s="395" t="s">
        <v>683</v>
      </c>
      <c r="D324" s="395" t="s">
        <v>146</v>
      </c>
      <c r="E324" s="537">
        <f>COUNTIF($D$5:D324,D324)</f>
        <v>5</v>
      </c>
      <c r="F324" s="537" t="str">
        <f t="shared" si="8"/>
        <v>Derbyshire5</v>
      </c>
      <c r="G324" s="541" t="str">
        <f t="shared" si="9"/>
        <v>NHS Hardwick CCG</v>
      </c>
      <c r="H324" s="546">
        <v>0.94587555686101721</v>
      </c>
      <c r="I324" s="546">
        <v>0.12240509857584511</v>
      </c>
      <c r="J324" s="384">
        <f>VLOOKUP($A324,'8.Non-elective admissions - CCG'!$D$5:$N$215,3,0)*$H324</f>
        <v>3388.1262446761634</v>
      </c>
      <c r="K324" s="384">
        <f>VLOOKUP($A324,'8.Non-elective admissions - CCG'!$D$5:$N$215,4,0)*$H324</f>
        <v>3282.1881823077297</v>
      </c>
      <c r="L324" s="384">
        <f>VLOOKUP($A324,'8.Non-elective admissions - CCG'!$D$5:$N$215,5,0)*$H324</f>
        <v>3431.6365202917705</v>
      </c>
      <c r="M324" s="384">
        <f>VLOOKUP($A324,'8.Non-elective admissions - CCG'!$D$5:$N$215,6,0)*$H324</f>
        <v>3535.6828315464822</v>
      </c>
      <c r="N324" s="384">
        <f>VLOOKUP($A324,'8.Non-elective admissions - CCG'!$D$5:$N$215,7,0)*$H324</f>
        <v>3323.2178345681218</v>
      </c>
      <c r="O324" s="384">
        <f>VLOOKUP($A324,'8.Non-elective admissions - CCG'!$D$5:$N$215,8,0)*$H324</f>
        <v>3364.9705749239765</v>
      </c>
      <c r="P324" s="384">
        <f>VLOOKUP($A324,'8.Non-elective admissions - CCG'!$D$5:$N$215,9,0)*$H324</f>
        <v>3463.9366038386784</v>
      </c>
      <c r="Q324" s="384">
        <f>VLOOKUP($A324,'8.Non-elective admissions - CCG'!$D$5:$N$215,10,0)*$H324</f>
        <v>3448.425818860635</v>
      </c>
      <c r="R324" s="384">
        <f>VLOOKUP($A324,'8.Non-elective admissions - CCG'!$D$5:$Q$215,11,0)*$H324</f>
        <v>3257.0454505372613</v>
      </c>
      <c r="S324" s="384">
        <f>VLOOKUP($A324,'8.Non-elective admissions - CCG'!$D$5:$Q$215,12,0)*$H324</f>
        <v>3297.943199164858</v>
      </c>
      <c r="T324" s="384">
        <f>VLOOKUP($A324,'8.Non-elective admissions - CCG'!$D$5:$Q$215,13,0)*$H324</f>
        <v>3394.9407587114547</v>
      </c>
      <c r="U324" s="384">
        <f>VLOOKUP($A324,'8.Non-elective admissions - CCG'!$D$5:$Q$215,14,0)*$H324</f>
        <v>3379.7282266464767</v>
      </c>
    </row>
    <row r="325" spans="1:21">
      <c r="A325" s="395" t="s">
        <v>275</v>
      </c>
      <c r="B325" s="395" t="s">
        <v>274</v>
      </c>
      <c r="C325" s="395" t="s">
        <v>742</v>
      </c>
      <c r="D325" s="395" t="s">
        <v>342</v>
      </c>
      <c r="E325" s="537">
        <f>COUNTIF($D$5:D325,D325)</f>
        <v>5</v>
      </c>
      <c r="F325" s="537" t="str">
        <f t="shared" ref="F325:F388" si="10">D325&amp;E325</f>
        <v>Nottinghamshire5</v>
      </c>
      <c r="G325" s="541" t="str">
        <f t="shared" ref="G325:G388" si="11">B325</f>
        <v>NHS Hardwick CCG</v>
      </c>
      <c r="H325" s="546">
        <v>5.0491995887795557E-2</v>
      </c>
      <c r="I325" s="546">
        <v>6.3004651128695886E-3</v>
      </c>
      <c r="J325" s="384">
        <f>VLOOKUP($A325,'8.Non-elective admissions - CCG'!$D$5:$N$215,3,0)*$H325</f>
        <v>180.86232927008368</v>
      </c>
      <c r="K325" s="384">
        <f>VLOOKUP($A325,'8.Non-elective admissions - CCG'!$D$5:$N$215,4,0)*$H325</f>
        <v>175.20722573065058</v>
      </c>
      <c r="L325" s="384">
        <f>VLOOKUP($A325,'8.Non-elective admissions - CCG'!$D$5:$N$215,5,0)*$H325</f>
        <v>183.18496108092228</v>
      </c>
      <c r="M325" s="384">
        <f>VLOOKUP($A325,'8.Non-elective admissions - CCG'!$D$5:$N$215,6,0)*$H325</f>
        <v>188.73908062857979</v>
      </c>
      <c r="N325" s="384">
        <f>VLOOKUP($A325,'8.Non-elective admissions - CCG'!$D$5:$N$215,7,0)*$H325</f>
        <v>177.39743882811601</v>
      </c>
      <c r="O325" s="384">
        <f>VLOOKUP($A325,'8.Non-elective admissions - CCG'!$D$5:$N$215,8,0)*$H325</f>
        <v>179.62625125387336</v>
      </c>
      <c r="P325" s="384">
        <f>VLOOKUP($A325,'8.Non-elective admissions - CCG'!$D$5:$N$215,9,0)*$H325</f>
        <v>184.9091791070633</v>
      </c>
      <c r="Q325" s="384">
        <f>VLOOKUP($A325,'8.Non-elective admissions - CCG'!$D$5:$N$215,10,0)*$H325</f>
        <v>184.08119440479771</v>
      </c>
      <c r="R325" s="384">
        <f>VLOOKUP($A325,'8.Non-elective admissions - CCG'!$D$5:$Q$215,11,0)*$H325</f>
        <v>173.86507590982697</v>
      </c>
      <c r="S325" s="384">
        <f>VLOOKUP($A325,'8.Non-elective admissions - CCG'!$D$5:$Q$215,12,0)*$H325</f>
        <v>176.04824782979671</v>
      </c>
      <c r="T325" s="384">
        <f>VLOOKUP($A325,'8.Non-elective admissions - CCG'!$D$5:$Q$215,13,0)*$H325</f>
        <v>181.22609637681504</v>
      </c>
      <c r="U325" s="384">
        <f>VLOOKUP($A325,'8.Non-elective admissions - CCG'!$D$5:$Q$215,14,0)*$H325</f>
        <v>180.41403278039769</v>
      </c>
    </row>
    <row r="326" spans="1:21">
      <c r="A326" s="395" t="s">
        <v>275</v>
      </c>
      <c r="B326" s="395" t="s">
        <v>274</v>
      </c>
      <c r="C326" s="395" t="s">
        <v>758</v>
      </c>
      <c r="D326" s="395" t="s">
        <v>390</v>
      </c>
      <c r="E326" s="537">
        <f>COUNTIF($D$5:D326,D326)</f>
        <v>2</v>
      </c>
      <c r="F326" s="537" t="str">
        <f t="shared" si="10"/>
        <v>Sheffield2</v>
      </c>
      <c r="G326" s="541" t="str">
        <f t="shared" si="11"/>
        <v>NHS Hardwick CCG</v>
      </c>
      <c r="H326" s="546">
        <v>3.632447251187154E-3</v>
      </c>
      <c r="I326" s="546">
        <v>0</v>
      </c>
      <c r="J326" s="384">
        <f>VLOOKUP($A326,'8.Non-elective admissions - CCG'!$D$5:$N$215,3,0)*$H326</f>
        <v>13.011426053752386</v>
      </c>
      <c r="K326" s="384">
        <f>VLOOKUP($A326,'8.Non-elective admissions - CCG'!$D$5:$N$215,4,0)*$H326</f>
        <v>12.604591961619425</v>
      </c>
      <c r="L326" s="384">
        <f>VLOOKUP($A326,'8.Non-elective admissions - CCG'!$D$5:$N$215,5,0)*$H326</f>
        <v>13.178518627306994</v>
      </c>
      <c r="M326" s="384">
        <f>VLOOKUP($A326,'8.Non-elective admissions - CCG'!$D$5:$N$215,6,0)*$H326</f>
        <v>13.578087824937581</v>
      </c>
      <c r="N326" s="384">
        <f>VLOOKUP($A326,'8.Non-elective admissions - CCG'!$D$5:$N$215,7,0)*$H326</f>
        <v>12.76215819376208</v>
      </c>
      <c r="O326" s="384">
        <f>VLOOKUP($A326,'8.Non-elective admissions - CCG'!$D$5:$N$215,8,0)*$H326</f>
        <v>12.922501302149898</v>
      </c>
      <c r="P326" s="384">
        <f>VLOOKUP($A326,'8.Non-elective admissions - CCG'!$D$5:$N$215,9,0)*$H326</f>
        <v>13.302560684258385</v>
      </c>
      <c r="Q326" s="384">
        <f>VLOOKUP($A326,'8.Non-elective admissions - CCG'!$D$5:$N$215,10,0)*$H326</f>
        <v>13.2429945945666</v>
      </c>
      <c r="R326" s="384">
        <f>VLOOKUP($A326,'8.Non-elective admissions - CCG'!$D$5:$Q$215,11,0)*$H326</f>
        <v>12.508036292911735</v>
      </c>
      <c r="S326" s="384">
        <f>VLOOKUP($A326,'8.Non-elective admissions - CCG'!$D$5:$Q$215,12,0)*$H326</f>
        <v>12.665095975345082</v>
      </c>
      <c r="T326" s="384">
        <f>VLOOKUP($A326,'8.Non-elective admissions - CCG'!$D$5:$Q$215,13,0)*$H326</f>
        <v>13.037595841729376</v>
      </c>
      <c r="U326" s="384">
        <f>VLOOKUP($A326,'8.Non-elective admissions - CCG'!$D$5:$Q$215,14,0)*$H326</f>
        <v>12.979175133125374</v>
      </c>
    </row>
    <row r="327" spans="1:21">
      <c r="A327" s="395" t="s">
        <v>278</v>
      </c>
      <c r="B327" s="395" t="s">
        <v>277</v>
      </c>
      <c r="C327" s="395" t="s">
        <v>651</v>
      </c>
      <c r="D327" s="395" t="s">
        <v>16</v>
      </c>
      <c r="E327" s="537">
        <f>COUNTIF($D$5:D327,D327)</f>
        <v>6</v>
      </c>
      <c r="F327" s="537" t="str">
        <f t="shared" si="10"/>
        <v>Barnet6</v>
      </c>
      <c r="G327" s="541" t="str">
        <f t="shared" si="11"/>
        <v>NHS Haringey CCG</v>
      </c>
      <c r="H327" s="546">
        <v>2.1069295581703368E-2</v>
      </c>
      <c r="I327" s="546">
        <v>1.5893770875567776E-2</v>
      </c>
      <c r="J327" s="384">
        <f>VLOOKUP($A327,'8.Non-elective admissions - CCG'!$D$5:$N$215,3,0)*$H327</f>
        <v>124.11922027181454</v>
      </c>
      <c r="K327" s="384">
        <f>VLOOKUP($A327,'8.Non-elective admissions - CCG'!$D$5:$N$215,4,0)*$H327</f>
        <v>111.87795953884488</v>
      </c>
      <c r="L327" s="384">
        <f>VLOOKUP($A327,'8.Non-elective admissions - CCG'!$D$5:$N$215,5,0)*$H327</f>
        <v>87.35329948174217</v>
      </c>
      <c r="M327" s="384">
        <f>VLOOKUP($A327,'8.Non-elective admissions - CCG'!$D$5:$N$215,6,0)*$H327</f>
        <v>99.152105007496047</v>
      </c>
      <c r="N327" s="384">
        <f>VLOOKUP($A327,'8.Non-elective admissions - CCG'!$D$5:$N$215,7,0)*$H327</f>
        <v>924.69823756338815</v>
      </c>
      <c r="O327" s="384">
        <f>VLOOKUP($A327,'8.Non-elective admissions - CCG'!$D$5:$N$215,8,0)*$H327</f>
        <v>950.88875040314019</v>
      </c>
      <c r="P327" s="384">
        <f>VLOOKUP($A327,'8.Non-elective admissions - CCG'!$D$5:$N$215,9,0)*$H327</f>
        <v>881.04634341123983</v>
      </c>
      <c r="Q327" s="384">
        <f>VLOOKUP($A327,'8.Non-elective admissions - CCG'!$D$5:$N$215,10,0)*$H327</f>
        <v>900.91940514989062</v>
      </c>
      <c r="R327" s="384">
        <f>VLOOKUP($A327,'8.Non-elective admissions - CCG'!$D$5:$Q$215,11,0)*$H327</f>
        <v>129.78043890118832</v>
      </c>
      <c r="S327" s="384">
        <f>VLOOKUP($A327,'8.Non-elective admissions - CCG'!$D$5:$Q$215,12,0)*$H327</f>
        <v>130.89160029839437</v>
      </c>
      <c r="T327" s="384">
        <f>VLOOKUP($A327,'8.Non-elective admissions - CCG'!$D$5:$Q$215,13,0)*$H327</f>
        <v>134.81814113866199</v>
      </c>
      <c r="U327" s="384">
        <f>VLOOKUP($A327,'8.Non-elective admissions - CCG'!$D$5:$Q$215,14,0)*$H327</f>
        <v>146.18366169435413</v>
      </c>
    </row>
    <row r="328" spans="1:21">
      <c r="A328" s="395" t="s">
        <v>278</v>
      </c>
      <c r="B328" s="395" t="s">
        <v>277</v>
      </c>
      <c r="C328" s="395" t="s">
        <v>671</v>
      </c>
      <c r="D328" s="395" t="s">
        <v>102</v>
      </c>
      <c r="E328" s="537">
        <f>COUNTIF($D$5:D328,D328)</f>
        <v>5</v>
      </c>
      <c r="F328" s="537" t="str">
        <f t="shared" si="10"/>
        <v>Camden5</v>
      </c>
      <c r="G328" s="541" t="str">
        <f t="shared" si="11"/>
        <v>NHS Haringey CCG</v>
      </c>
      <c r="H328" s="546">
        <v>5.5704855128935419E-3</v>
      </c>
      <c r="I328" s="546">
        <v>6.5214278408509763E-3</v>
      </c>
      <c r="J328" s="384">
        <f>VLOOKUP($A328,'8.Non-elective admissions - CCG'!$D$5:$N$215,3,0)*$H328</f>
        <v>32.815730156455857</v>
      </c>
      <c r="K328" s="384">
        <f>VLOOKUP($A328,'8.Non-elective admissions - CCG'!$D$5:$N$215,4,0)*$H328</f>
        <v>29.579278073464707</v>
      </c>
      <c r="L328" s="384">
        <f>VLOOKUP($A328,'8.Non-elective admissions - CCG'!$D$5:$N$215,5,0)*$H328</f>
        <v>23.095232936456625</v>
      </c>
      <c r="M328" s="384">
        <f>VLOOKUP($A328,'8.Non-elective admissions - CCG'!$D$5:$N$215,6,0)*$H328</f>
        <v>26.214704823677007</v>
      </c>
      <c r="N328" s="384">
        <f>VLOOKUP($A328,'8.Non-elective admissions - CCG'!$D$5:$N$215,7,0)*$H328</f>
        <v>244.47984585769456</v>
      </c>
      <c r="O328" s="384">
        <f>VLOOKUP($A328,'8.Non-elective admissions - CCG'!$D$5:$N$215,8,0)*$H328</f>
        <v>251.40432379210569</v>
      </c>
      <c r="P328" s="384">
        <f>VLOOKUP($A328,'8.Non-elective admissions - CCG'!$D$5:$N$215,9,0)*$H328</f>
        <v>232.9387744895532</v>
      </c>
      <c r="Q328" s="384">
        <f>VLOOKUP($A328,'8.Non-elective admissions - CCG'!$D$5:$N$215,10,0)*$H328</f>
        <v>238.19298918708333</v>
      </c>
      <c r="R328" s="384">
        <f>VLOOKUP($A328,'8.Non-elective admissions - CCG'!$D$5:$Q$215,11,0)*$H328</f>
        <v>34.312492885800985</v>
      </c>
      <c r="S328" s="384">
        <f>VLOOKUP($A328,'8.Non-elective admissions - CCG'!$D$5:$Q$215,12,0)*$H328</f>
        <v>34.606271500355049</v>
      </c>
      <c r="T328" s="384">
        <f>VLOOKUP($A328,'8.Non-elective admissions - CCG'!$D$5:$Q$215,13,0)*$H328</f>
        <v>35.644404872288469</v>
      </c>
      <c r="U328" s="384">
        <f>VLOOKUP($A328,'8.Non-elective admissions - CCG'!$D$5:$Q$215,14,0)*$H328</f>
        <v>38.649321071620577</v>
      </c>
    </row>
    <row r="329" spans="1:21">
      <c r="A329" s="395" t="s">
        <v>278</v>
      </c>
      <c r="B329" s="395" t="s">
        <v>277</v>
      </c>
      <c r="C329" s="395" t="s">
        <v>691</v>
      </c>
      <c r="D329" s="395" t="s">
        <v>176</v>
      </c>
      <c r="E329" s="537">
        <f>COUNTIF($D$5:D329,D329)</f>
        <v>5</v>
      </c>
      <c r="F329" s="537" t="str">
        <f t="shared" si="10"/>
        <v>Enfield5</v>
      </c>
      <c r="G329" s="541" t="str">
        <f t="shared" si="11"/>
        <v>NHS Haringey CCG</v>
      </c>
      <c r="H329" s="546">
        <v>7.9531436199768657E-2</v>
      </c>
      <c r="I329" s="546">
        <v>6.9617407104903301E-2</v>
      </c>
      <c r="J329" s="384">
        <f>VLOOKUP($A329,'8.Non-elective admissions - CCG'!$D$5:$N$215,3,0)*$H329</f>
        <v>468.51969065283714</v>
      </c>
      <c r="K329" s="384">
        <f>VLOOKUP($A329,'8.Non-elective admissions - CCG'!$D$5:$N$215,4,0)*$H329</f>
        <v>422.31192622077157</v>
      </c>
      <c r="L329" s="384">
        <f>VLOOKUP($A329,'8.Non-elective admissions - CCG'!$D$5:$N$215,5,0)*$H329</f>
        <v>329.73733448424088</v>
      </c>
      <c r="M329" s="384">
        <f>VLOOKUP($A329,'8.Non-elective admissions - CCG'!$D$5:$N$215,6,0)*$H329</f>
        <v>374.27493875611128</v>
      </c>
      <c r="N329" s="384">
        <f>VLOOKUP($A329,'8.Non-elective admissions - CCG'!$D$5:$N$215,7,0)*$H329</f>
        <v>3490.5096185880889</v>
      </c>
      <c r="O329" s="384">
        <f>VLOOKUP($A329,'8.Non-elective admissions - CCG'!$D$5:$N$215,8,0)*$H329</f>
        <v>3589.3723970268143</v>
      </c>
      <c r="P329" s="384">
        <f>VLOOKUP($A329,'8.Non-elective admissions - CCG'!$D$5:$N$215,9,0)*$H329</f>
        <v>3325.7343976369207</v>
      </c>
      <c r="Q329" s="384">
        <f>VLOOKUP($A329,'8.Non-elective admissions - CCG'!$D$5:$N$215,10,0)*$H329</f>
        <v>3400.7503437387973</v>
      </c>
      <c r="R329" s="384">
        <f>VLOOKUP($A329,'8.Non-elective admissions - CCG'!$D$5:$Q$215,11,0)*$H329</f>
        <v>489.88940595674967</v>
      </c>
      <c r="S329" s="384">
        <f>VLOOKUP($A329,'8.Non-elective admissions - CCG'!$D$5:$Q$215,12,0)*$H329</f>
        <v>494.08376838461754</v>
      </c>
      <c r="T329" s="384">
        <f>VLOOKUP($A329,'8.Non-elective admissions - CCG'!$D$5:$Q$215,13,0)*$H329</f>
        <v>508.90549942505714</v>
      </c>
      <c r="U329" s="384">
        <f>VLOOKUP($A329,'8.Non-elective admissions - CCG'!$D$5:$Q$215,14,0)*$H329</f>
        <v>551.80755893848254</v>
      </c>
    </row>
    <row r="330" spans="1:21">
      <c r="A330" s="395" t="s">
        <v>278</v>
      </c>
      <c r="B330" s="395" t="s">
        <v>277</v>
      </c>
      <c r="C330" s="395" t="s">
        <v>696</v>
      </c>
      <c r="D330" s="395" t="s">
        <v>195</v>
      </c>
      <c r="E330" s="537">
        <f>COUNTIF($D$5:D330,D330)</f>
        <v>4</v>
      </c>
      <c r="F330" s="537" t="str">
        <f t="shared" si="10"/>
        <v>Hackney4</v>
      </c>
      <c r="G330" s="541" t="str">
        <f t="shared" si="11"/>
        <v>NHS Haringey CCG</v>
      </c>
      <c r="H330" s="546">
        <v>6.9543702450803949E-3</v>
      </c>
      <c r="I330" s="546">
        <v>7.1998929061155665E-3</v>
      </c>
      <c r="J330" s="384">
        <f>VLOOKUP($A330,'8.Non-elective admissions - CCG'!$D$5:$N$215,3,0)*$H330</f>
        <v>40.968195113768608</v>
      </c>
      <c r="K330" s="384">
        <f>VLOOKUP($A330,'8.Non-elective admissions - CCG'!$D$5:$N$215,4,0)*$H330</f>
        <v>36.927706001376897</v>
      </c>
      <c r="L330" s="384">
        <f>VLOOKUP($A330,'8.Non-elective admissions - CCG'!$D$5:$N$215,5,0)*$H330</f>
        <v>28.832819036103317</v>
      </c>
      <c r="M330" s="384">
        <f>VLOOKUP($A330,'8.Non-elective admissions - CCG'!$D$5:$N$215,6,0)*$H330</f>
        <v>32.727266373348336</v>
      </c>
      <c r="N330" s="384">
        <f>VLOOKUP($A330,'8.Non-elective admissions - CCG'!$D$5:$N$215,7,0)*$H330</f>
        <v>305.21636967177682</v>
      </c>
      <c r="O330" s="384">
        <f>VLOOKUP($A330,'8.Non-elective admissions - CCG'!$D$5:$N$215,8,0)*$H330</f>
        <v>313.86110686718342</v>
      </c>
      <c r="P330" s="384">
        <f>VLOOKUP($A330,'8.Non-elective admissions - CCG'!$D$5:$N$215,9,0)*$H330</f>
        <v>290.8081312636204</v>
      </c>
      <c r="Q330" s="384">
        <f>VLOOKUP($A330,'8.Non-elective admissions - CCG'!$D$5:$N$215,10,0)*$H330</f>
        <v>297.36765902277034</v>
      </c>
      <c r="R330" s="384">
        <f>VLOOKUP($A330,'8.Non-elective admissions - CCG'!$D$5:$Q$215,11,0)*$H330</f>
        <v>42.836801030579657</v>
      </c>
      <c r="S330" s="384">
        <f>VLOOKUP($A330,'8.Non-elective admissions - CCG'!$D$5:$Q$215,12,0)*$H330</f>
        <v>43.203563541848531</v>
      </c>
      <c r="T330" s="384">
        <f>VLOOKUP($A330,'8.Non-elective admissions - CCG'!$D$5:$Q$215,13,0)*$H330</f>
        <v>44.499602067662522</v>
      </c>
      <c r="U330" s="384">
        <f>VLOOKUP($A330,'8.Non-elective admissions - CCG'!$D$5:$Q$215,14,0)*$H330</f>
        <v>48.251034462060822</v>
      </c>
    </row>
    <row r="331" spans="1:21">
      <c r="A331" s="395" t="s">
        <v>278</v>
      </c>
      <c r="B331" s="395" t="s">
        <v>277</v>
      </c>
      <c r="C331" s="395" t="s">
        <v>700</v>
      </c>
      <c r="D331" s="395" t="s">
        <v>209</v>
      </c>
      <c r="E331" s="537">
        <f>COUNTIF($D$5:D331,D331)</f>
        <v>5</v>
      </c>
      <c r="F331" s="537" t="str">
        <f t="shared" si="10"/>
        <v>Haringey5</v>
      </c>
      <c r="G331" s="541" t="str">
        <f t="shared" si="11"/>
        <v>NHS Haringey CCG</v>
      </c>
      <c r="H331" s="546">
        <v>0.87346890278209766</v>
      </c>
      <c r="I331" s="546">
        <v>0.9163648095733915</v>
      </c>
      <c r="J331" s="384">
        <f>VLOOKUP($A331,'8.Non-elective admissions - CCG'!$D$5:$N$215,3,0)*$H331</f>
        <v>5145.605306289337</v>
      </c>
      <c r="K331" s="384">
        <f>VLOOKUP($A331,'8.Non-elective admissions - CCG'!$D$5:$N$215,4,0)*$H331</f>
        <v>4638.1198737729383</v>
      </c>
      <c r="L331" s="384">
        <f>VLOOKUP($A331,'8.Non-elective admissions - CCG'!$D$5:$N$215,5,0)*$H331</f>
        <v>3621.4020709345768</v>
      </c>
      <c r="M331" s="384">
        <f>VLOOKUP($A331,'8.Non-elective admissions - CCG'!$D$5:$N$215,6,0)*$H331</f>
        <v>4110.5446564925514</v>
      </c>
      <c r="N331" s="384">
        <f>VLOOKUP($A331,'8.Non-elective admissions - CCG'!$D$5:$N$215,7,0)*$H331</f>
        <v>38335.176030775168</v>
      </c>
      <c r="O331" s="384">
        <f>VLOOKUP($A331,'8.Non-elective admissions - CCG'!$D$5:$N$215,8,0)*$H331</f>
        <v>39420.955022518239</v>
      </c>
      <c r="P331" s="384">
        <f>VLOOKUP($A331,'8.Non-elective admissions - CCG'!$D$5:$N$215,9,0)*$H331</f>
        <v>36525.501286710722</v>
      </c>
      <c r="Q331" s="384">
        <f>VLOOKUP($A331,'8.Non-elective admissions - CCG'!$D$5:$N$215,10,0)*$H331</f>
        <v>37349.377973259958</v>
      </c>
      <c r="R331" s="384">
        <f>VLOOKUP($A331,'8.Non-elective admissions - CCG'!$D$5:$Q$215,11,0)*$H331</f>
        <v>5380.3022094408052</v>
      </c>
      <c r="S331" s="384">
        <f>VLOOKUP($A331,'8.Non-elective admissions - CCG'!$D$5:$Q$215,12,0)*$H331</f>
        <v>5426.3675808561757</v>
      </c>
      <c r="T331" s="384">
        <f>VLOOKUP($A331,'8.Non-elective admissions - CCG'!$D$5:$Q$215,13,0)*$H331</f>
        <v>5589.1500196984134</v>
      </c>
      <c r="U331" s="384">
        <f>VLOOKUP($A331,'8.Non-elective admissions - CCG'!$D$5:$Q$215,14,0)*$H331</f>
        <v>6060.3299284348395</v>
      </c>
    </row>
    <row r="332" spans="1:21">
      <c r="A332" s="395" t="s">
        <v>278</v>
      </c>
      <c r="B332" s="395" t="s">
        <v>277</v>
      </c>
      <c r="C332" s="395" t="s">
        <v>710</v>
      </c>
      <c r="D332" s="395" t="s">
        <v>245</v>
      </c>
      <c r="E332" s="537">
        <f>COUNTIF($D$5:D332,D332)</f>
        <v>4</v>
      </c>
      <c r="F332" s="537" t="str">
        <f t="shared" si="10"/>
        <v>Islington4</v>
      </c>
      <c r="G332" s="541" t="str">
        <f t="shared" si="11"/>
        <v>NHS Haringey CCG</v>
      </c>
      <c r="H332" s="546">
        <v>1.340550967845648E-2</v>
      </c>
      <c r="I332" s="546">
        <v>1.6534839112911915E-2</v>
      </c>
      <c r="J332" s="384">
        <f>VLOOKUP($A332,'8.Non-elective admissions - CCG'!$D$5:$N$215,3,0)*$H332</f>
        <v>78.971857515787121</v>
      </c>
      <c r="K332" s="384">
        <f>VLOOKUP($A332,'8.Non-elective admissions - CCG'!$D$5:$N$215,4,0)*$H332</f>
        <v>71.183256392603909</v>
      </c>
      <c r="L332" s="384">
        <f>VLOOKUP($A332,'8.Non-elective admissions - CCG'!$D$5:$N$215,5,0)*$H332</f>
        <v>55.579243126880563</v>
      </c>
      <c r="M332" s="384">
        <f>VLOOKUP($A332,'8.Non-elective admissions - CCG'!$D$5:$N$215,6,0)*$H332</f>
        <v>63.086328546816191</v>
      </c>
      <c r="N332" s="384">
        <f>VLOOKUP($A332,'8.Non-elective admissions - CCG'!$D$5:$N$215,7,0)*$H332</f>
        <v>588.34673068388736</v>
      </c>
      <c r="O332" s="384">
        <f>VLOOKUP($A332,'8.Non-elective admissions - CCG'!$D$5:$N$215,8,0)*$H332</f>
        <v>605.01065625252045</v>
      </c>
      <c r="P332" s="384">
        <f>VLOOKUP($A332,'8.Non-elective admissions - CCG'!$D$5:$N$215,9,0)*$H332</f>
        <v>560.57286006394361</v>
      </c>
      <c r="Q332" s="384">
        <f>VLOOKUP($A332,'8.Non-elective admissions - CCG'!$D$5:$N$215,10,0)*$H332</f>
        <v>573.21725628710897</v>
      </c>
      <c r="R332" s="384">
        <f>VLOOKUP($A332,'8.Non-elective admissions - CCG'!$D$5:$Q$215,11,0)*$H332</f>
        <v>82.573853644876166</v>
      </c>
      <c r="S332" s="384">
        <f>VLOOKUP($A332,'8.Non-elective admissions - CCG'!$D$5:$Q$215,12,0)*$H332</f>
        <v>83.280839068608529</v>
      </c>
      <c r="T332" s="384">
        <f>VLOOKUP($A332,'8.Non-elective admissions - CCG'!$D$5:$Q$215,13,0)*$H332</f>
        <v>85.779132427916309</v>
      </c>
      <c r="U332" s="384">
        <f>VLOOKUP($A332,'8.Non-elective admissions - CCG'!$D$5:$Q$215,14,0)*$H332</f>
        <v>93.010536782143376</v>
      </c>
    </row>
    <row r="333" spans="1:21">
      <c r="A333" s="395" t="s">
        <v>281</v>
      </c>
      <c r="B333" s="395" t="s">
        <v>280</v>
      </c>
      <c r="C333" s="395" t="s">
        <v>738</v>
      </c>
      <c r="D333" s="395" t="s">
        <v>330</v>
      </c>
      <c r="E333" s="537">
        <f>COUNTIF($D$5:D333,D333)</f>
        <v>9</v>
      </c>
      <c r="F333" s="537" t="str">
        <f t="shared" si="10"/>
        <v>North Yorkshire9</v>
      </c>
      <c r="G333" s="541" t="str">
        <f t="shared" si="11"/>
        <v>NHS Harrogate and Rural District CCG</v>
      </c>
      <c r="H333" s="546">
        <v>0.99889957537286989</v>
      </c>
      <c r="I333" s="546">
        <v>0.26342108024448463</v>
      </c>
      <c r="J333" s="384">
        <f>VLOOKUP($A333,'8.Non-elective admissions - CCG'!$D$5:$N$215,3,0)*$H333</f>
        <v>3409.2442507476048</v>
      </c>
      <c r="K333" s="384">
        <f>VLOOKUP($A333,'8.Non-elective admissions - CCG'!$D$5:$N$215,4,0)*$H333</f>
        <v>3354.3047741020969</v>
      </c>
      <c r="L333" s="384">
        <f>VLOOKUP($A333,'8.Non-elective admissions - CCG'!$D$5:$N$215,5,0)*$H333</f>
        <v>3613.0197641236705</v>
      </c>
      <c r="M333" s="384">
        <f>VLOOKUP($A333,'8.Non-elective admissions - CCG'!$D$5:$N$215,6,0)*$H333</f>
        <v>3665.9614416184327</v>
      </c>
      <c r="N333" s="384">
        <f>VLOOKUP($A333,'8.Non-elective admissions - CCG'!$D$5:$N$215,7,0)*$H333</f>
        <v>3275.7346367792561</v>
      </c>
      <c r="O333" s="384">
        <f>VLOOKUP($A333,'8.Non-elective admissions - CCG'!$D$5:$N$215,8,0)*$H333</f>
        <v>3330.1812882341774</v>
      </c>
      <c r="P333" s="384">
        <f>VLOOKUP($A333,'8.Non-elective admissions - CCG'!$D$5:$N$215,9,0)*$H333</f>
        <v>3549.2658791515869</v>
      </c>
      <c r="Q333" s="384">
        <f>VLOOKUP($A333,'8.Non-elective admissions - CCG'!$D$5:$N$215,10,0)*$H333</f>
        <v>3331.7963480027483</v>
      </c>
      <c r="R333" s="384">
        <f>VLOOKUP($A333,'8.Non-elective admissions - CCG'!$D$5:$Q$215,11,0)*$H333</f>
        <v>3157.3869272895286</v>
      </c>
      <c r="S333" s="384">
        <f>VLOOKUP($A333,'8.Non-elective admissions - CCG'!$D$5:$Q$215,12,0)*$H333</f>
        <v>3204.0015846870683</v>
      </c>
      <c r="T333" s="384">
        <f>VLOOKUP($A333,'8.Non-elective admissions - CCG'!$D$5:$Q$215,13,0)*$H333</f>
        <v>3415.5945977890055</v>
      </c>
      <c r="U333" s="384">
        <f>VLOOKUP($A333,'8.Non-elective admissions - CCG'!$D$5:$Q$215,14,0)*$H333</f>
        <v>3209.7408033859979</v>
      </c>
    </row>
    <row r="334" spans="1:21">
      <c r="A334" s="395" t="s">
        <v>281</v>
      </c>
      <c r="B334" s="395" t="s">
        <v>280</v>
      </c>
      <c r="C334" s="395" t="s">
        <v>800</v>
      </c>
      <c r="D334" s="395" t="s">
        <v>516</v>
      </c>
      <c r="E334" s="537">
        <f>COUNTIF($D$5:D334,D334)</f>
        <v>1</v>
      </c>
      <c r="F334" s="537" t="str">
        <f t="shared" si="10"/>
        <v>York1</v>
      </c>
      <c r="G334" s="541" t="str">
        <f t="shared" si="11"/>
        <v>NHS Harrogate and Rural District CCG</v>
      </c>
      <c r="H334" s="546">
        <v>1.10042462713013E-3</v>
      </c>
      <c r="I334" s="546">
        <v>0</v>
      </c>
      <c r="J334" s="384">
        <f>VLOOKUP($A334,'8.Non-elective admissions - CCG'!$D$5:$N$215,3,0)*$H334</f>
        <v>3.7557492523951335</v>
      </c>
      <c r="K334" s="384">
        <f>VLOOKUP($A334,'8.Non-elective admissions - CCG'!$D$5:$N$215,4,0)*$H334</f>
        <v>3.6952258979029766</v>
      </c>
      <c r="L334" s="384">
        <f>VLOOKUP($A334,'8.Non-elective admissions - CCG'!$D$5:$N$215,5,0)*$H334</f>
        <v>3.9802358763296799</v>
      </c>
      <c r="M334" s="384">
        <f>VLOOKUP($A334,'8.Non-elective admissions - CCG'!$D$5:$N$215,6,0)*$H334</f>
        <v>4.0385583815675767</v>
      </c>
      <c r="N334" s="384">
        <f>VLOOKUP($A334,'8.Non-elective admissions - CCG'!$D$5:$N$215,7,0)*$H334</f>
        <v>3.6086701357436257</v>
      </c>
      <c r="O334" s="384">
        <f>VLOOKUP($A334,'8.Non-elective admissions - CCG'!$D$5:$N$215,8,0)*$H334</f>
        <v>3.668650575822801</v>
      </c>
      <c r="P334" s="384">
        <f>VLOOKUP($A334,'8.Non-elective admissions - CCG'!$D$5:$N$215,9,0)*$H334</f>
        <v>3.9100022444129641</v>
      </c>
      <c r="Q334" s="384">
        <f>VLOOKUP($A334,'8.Non-elective admissions - CCG'!$D$5:$N$215,10,0)*$H334</f>
        <v>3.6704297852522965</v>
      </c>
      <c r="R334" s="384">
        <f>VLOOKUP($A334,'8.Non-elective admissions - CCG'!$D$5:$Q$215,11,0)*$H334</f>
        <v>3.4782939324718156</v>
      </c>
      <c r="S334" s="384">
        <f>VLOOKUP($A334,'8.Non-elective admissions - CCG'!$D$5:$Q$215,12,0)*$H334</f>
        <v>3.5296463589320415</v>
      </c>
      <c r="T334" s="384">
        <f>VLOOKUP($A334,'8.Non-elective admissions - CCG'!$D$5:$Q$215,13,0)*$H334</f>
        <v>3.7627450289951705</v>
      </c>
      <c r="U334" s="384">
        <f>VLOOKUP($A334,'8.Non-elective admissions - CCG'!$D$5:$Q$215,14,0)*$H334</f>
        <v>3.5359688940021266</v>
      </c>
    </row>
    <row r="335" spans="1:21">
      <c r="A335" s="395" t="s">
        <v>284</v>
      </c>
      <c r="B335" s="395" t="s">
        <v>283</v>
      </c>
      <c r="C335" s="395" t="s">
        <v>651</v>
      </c>
      <c r="D335" s="395" t="s">
        <v>16</v>
      </c>
      <c r="E335" s="537">
        <f>COUNTIF($D$5:D335,D335)</f>
        <v>7</v>
      </c>
      <c r="F335" s="537" t="str">
        <f t="shared" si="10"/>
        <v>Barnet7</v>
      </c>
      <c r="G335" s="541" t="str">
        <f t="shared" si="11"/>
        <v>NHS Harrow CCG</v>
      </c>
      <c r="H335" s="546">
        <v>1.208243363393878E-2</v>
      </c>
      <c r="I335" s="546">
        <v>8.0246539302087101E-3</v>
      </c>
      <c r="J335" s="384">
        <f>VLOOKUP($A335,'8.Non-elective admissions - CCG'!$D$5:$N$215,3,0)*$H335</f>
        <v>62.961561666454983</v>
      </c>
      <c r="K335" s="384">
        <f>VLOOKUP($A335,'8.Non-elective admissions - CCG'!$D$5:$N$215,4,0)*$H335</f>
        <v>62.961561666454983</v>
      </c>
      <c r="L335" s="384">
        <f>VLOOKUP($A335,'8.Non-elective admissions - CCG'!$D$5:$N$215,5,0)*$H335</f>
        <v>63.746919852661001</v>
      </c>
      <c r="M335" s="384">
        <f>VLOOKUP($A335,'8.Non-elective admissions - CCG'!$D$5:$N$215,6,0)*$H335</f>
        <v>66.912517464752966</v>
      </c>
      <c r="N335" s="384">
        <f>VLOOKUP($A335,'8.Non-elective admissions - CCG'!$D$5:$N$215,7,0)*$H335</f>
        <v>63.432776578178597</v>
      </c>
      <c r="O335" s="384">
        <f>VLOOKUP($A335,'8.Non-elective admissions - CCG'!$D$5:$N$215,8,0)*$H335</f>
        <v>60.677981709640555</v>
      </c>
      <c r="P335" s="384">
        <f>VLOOKUP($A335,'8.Non-elective admissions - CCG'!$D$5:$N$215,9,0)*$H335</f>
        <v>61.257938524069615</v>
      </c>
      <c r="Q335" s="384">
        <f>VLOOKUP($A335,'8.Non-elective admissions - CCG'!$D$5:$N$215,10,0)*$H335</f>
        <v>63.795249587196757</v>
      </c>
      <c r="R335" s="384">
        <f>VLOOKUP($A335,'8.Non-elective admissions - CCG'!$D$5:$Q$215,11,0)*$H335</f>
        <v>62.876984631017415</v>
      </c>
      <c r="S335" s="384">
        <f>VLOOKUP($A335,'8.Non-elective admissions - CCG'!$D$5:$Q$215,12,0)*$H335</f>
        <v>60.001365426139984</v>
      </c>
      <c r="T335" s="384">
        <f>VLOOKUP($A335,'8.Non-elective admissions - CCG'!$D$5:$Q$215,13,0)*$H335</f>
        <v>60.641734408738735</v>
      </c>
      <c r="U335" s="384">
        <f>VLOOKUP($A335,'8.Non-elective admissions - CCG'!$D$5:$Q$215,14,0)*$H335</f>
        <v>63.215292772767697</v>
      </c>
    </row>
    <row r="336" spans="1:21">
      <c r="A336" s="395" t="s">
        <v>284</v>
      </c>
      <c r="B336" s="395" t="s">
        <v>283</v>
      </c>
      <c r="C336" s="395" t="s">
        <v>663</v>
      </c>
      <c r="D336" s="395" t="s">
        <v>72</v>
      </c>
      <c r="E336" s="537">
        <f>COUNTIF($D$5:D336,D336)</f>
        <v>7</v>
      </c>
      <c r="F336" s="537" t="str">
        <f t="shared" si="10"/>
        <v>Brent7</v>
      </c>
      <c r="G336" s="541" t="str">
        <f t="shared" si="11"/>
        <v>NHS Harrow CCG</v>
      </c>
      <c r="H336" s="546">
        <v>5.5831639781531821E-2</v>
      </c>
      <c r="I336" s="546">
        <v>3.8518307560443298E-2</v>
      </c>
      <c r="J336" s="384">
        <f>VLOOKUP($A336,'8.Non-elective admissions - CCG'!$D$5:$N$215,3,0)*$H336</f>
        <v>290.93867490156231</v>
      </c>
      <c r="K336" s="384">
        <f>VLOOKUP($A336,'8.Non-elective admissions - CCG'!$D$5:$N$215,4,0)*$H336</f>
        <v>290.93867490156231</v>
      </c>
      <c r="L336" s="384">
        <f>VLOOKUP($A336,'8.Non-elective admissions - CCG'!$D$5:$N$215,5,0)*$H336</f>
        <v>294.56773148736187</v>
      </c>
      <c r="M336" s="384">
        <f>VLOOKUP($A336,'8.Non-elective admissions - CCG'!$D$5:$N$215,6,0)*$H336</f>
        <v>309.19562111012323</v>
      </c>
      <c r="N336" s="384">
        <f>VLOOKUP($A336,'8.Non-elective admissions - CCG'!$D$5:$N$215,7,0)*$H336</f>
        <v>293.11610885304208</v>
      </c>
      <c r="O336" s="384">
        <f>VLOOKUP($A336,'8.Non-elective admissions - CCG'!$D$5:$N$215,8,0)*$H336</f>
        <v>280.38649498285281</v>
      </c>
      <c r="P336" s="384">
        <f>VLOOKUP($A336,'8.Non-elective admissions - CCG'!$D$5:$N$215,9,0)*$H336</f>
        <v>283.06641369236632</v>
      </c>
      <c r="Q336" s="384">
        <f>VLOOKUP($A336,'8.Non-elective admissions - CCG'!$D$5:$N$215,10,0)*$H336</f>
        <v>294.79105804648799</v>
      </c>
      <c r="R336" s="384">
        <f>VLOOKUP($A336,'8.Non-elective admissions - CCG'!$D$5:$Q$215,11,0)*$H336</f>
        <v>290.54785342309157</v>
      </c>
      <c r="S336" s="384">
        <f>VLOOKUP($A336,'8.Non-elective admissions - CCG'!$D$5:$Q$215,12,0)*$H336</f>
        <v>277.25992315508699</v>
      </c>
      <c r="T336" s="384">
        <f>VLOOKUP($A336,'8.Non-elective admissions - CCG'!$D$5:$Q$215,13,0)*$H336</f>
        <v>280.21900006350819</v>
      </c>
      <c r="U336" s="384">
        <f>VLOOKUP($A336,'8.Non-elective admissions - CCG'!$D$5:$Q$215,14,0)*$H336</f>
        <v>292.11113933697447</v>
      </c>
    </row>
    <row r="337" spans="1:21">
      <c r="A337" s="395" t="s">
        <v>284</v>
      </c>
      <c r="B337" s="395" t="s">
        <v>283</v>
      </c>
      <c r="C337" s="395" t="s">
        <v>688</v>
      </c>
      <c r="D337" s="395" t="s">
        <v>166</v>
      </c>
      <c r="E337" s="537">
        <f>COUNTIF($D$5:D337,D337)</f>
        <v>5</v>
      </c>
      <c r="F337" s="537" t="str">
        <f t="shared" si="10"/>
        <v>Ealing5</v>
      </c>
      <c r="G337" s="541" t="str">
        <f t="shared" si="11"/>
        <v>NHS Harrow CCG</v>
      </c>
      <c r="H337" s="546">
        <v>3.4254731360345487E-3</v>
      </c>
      <c r="I337" s="546">
        <v>2.1919854104702229E-3</v>
      </c>
      <c r="J337" s="384">
        <f>VLOOKUP($A337,'8.Non-elective admissions - CCG'!$D$5:$N$215,3,0)*$H337</f>
        <v>17.850140511876035</v>
      </c>
      <c r="K337" s="384">
        <f>VLOOKUP($A337,'8.Non-elective admissions - CCG'!$D$5:$N$215,4,0)*$H337</f>
        <v>17.850140511876035</v>
      </c>
      <c r="L337" s="384">
        <f>VLOOKUP($A337,'8.Non-elective admissions - CCG'!$D$5:$N$215,5,0)*$H337</f>
        <v>18.072796265718278</v>
      </c>
      <c r="M337" s="384">
        <f>VLOOKUP($A337,'8.Non-elective admissions - CCG'!$D$5:$N$215,6,0)*$H337</f>
        <v>18.970270227359332</v>
      </c>
      <c r="N337" s="384">
        <f>VLOOKUP($A337,'8.Non-elective admissions - CCG'!$D$5:$N$215,7,0)*$H337</f>
        <v>17.983733964181379</v>
      </c>
      <c r="O337" s="384">
        <f>VLOOKUP($A337,'8.Non-elective admissions - CCG'!$D$5:$N$215,8,0)*$H337</f>
        <v>17.202726089165502</v>
      </c>
      <c r="P337" s="384">
        <f>VLOOKUP($A337,'8.Non-elective admissions - CCG'!$D$5:$N$215,9,0)*$H337</f>
        <v>17.367148799695162</v>
      </c>
      <c r="Q337" s="384">
        <f>VLOOKUP($A337,'8.Non-elective admissions - CCG'!$D$5:$N$215,10,0)*$H337</f>
        <v>18.086498158262419</v>
      </c>
      <c r="R337" s="384">
        <f>VLOOKUP($A337,'8.Non-elective admissions - CCG'!$D$5:$Q$215,11,0)*$H337</f>
        <v>17.826162199923793</v>
      </c>
      <c r="S337" s="384">
        <f>VLOOKUP($A337,'8.Non-elective admissions - CCG'!$D$5:$Q$215,12,0)*$H337</f>
        <v>17.01089959354757</v>
      </c>
      <c r="T337" s="384">
        <f>VLOOKUP($A337,'8.Non-elective admissions - CCG'!$D$5:$Q$215,13,0)*$H337</f>
        <v>17.192449669757401</v>
      </c>
      <c r="U337" s="384">
        <f>VLOOKUP($A337,'8.Non-elective admissions - CCG'!$D$5:$Q$215,14,0)*$H337</f>
        <v>17.922075447732759</v>
      </c>
    </row>
    <row r="338" spans="1:21">
      <c r="A338" s="395" t="s">
        <v>284</v>
      </c>
      <c r="B338" s="395" t="s">
        <v>283</v>
      </c>
      <c r="C338" s="395" t="s">
        <v>701</v>
      </c>
      <c r="D338" s="395" t="s">
        <v>212</v>
      </c>
      <c r="E338" s="537">
        <f>COUNTIF($D$5:D338,D338)</f>
        <v>4</v>
      </c>
      <c r="F338" s="537" t="str">
        <f t="shared" si="10"/>
        <v>Harrow4</v>
      </c>
      <c r="G338" s="541" t="str">
        <f t="shared" si="11"/>
        <v>NHS Harrow CCG</v>
      </c>
      <c r="H338" s="546">
        <v>0.89924425250857365</v>
      </c>
      <c r="I338" s="546">
        <v>0.84406144400108796</v>
      </c>
      <c r="J338" s="384">
        <f>VLOOKUP($A338,'8.Non-elective admissions - CCG'!$D$5:$N$215,3,0)*$H338</f>
        <v>4685.9617998221775</v>
      </c>
      <c r="K338" s="384">
        <f>VLOOKUP($A338,'8.Non-elective admissions - CCG'!$D$5:$N$215,4,0)*$H338</f>
        <v>4685.9617998221775</v>
      </c>
      <c r="L338" s="384">
        <f>VLOOKUP($A338,'8.Non-elective admissions - CCG'!$D$5:$N$215,5,0)*$H338</f>
        <v>4744.4126762352344</v>
      </c>
      <c r="M338" s="384">
        <f>VLOOKUP($A338,'8.Non-elective admissions - CCG'!$D$5:$N$215,6,0)*$H338</f>
        <v>4980.0146703924811</v>
      </c>
      <c r="N338" s="384">
        <f>VLOOKUP($A338,'8.Non-elective admissions - CCG'!$D$5:$N$215,7,0)*$H338</f>
        <v>4721.0323256700112</v>
      </c>
      <c r="O338" s="384">
        <f>VLOOKUP($A338,'8.Non-elective admissions - CCG'!$D$5:$N$215,8,0)*$H338</f>
        <v>4516.0046360980568</v>
      </c>
      <c r="P338" s="384">
        <f>VLOOKUP($A338,'8.Non-elective admissions - CCG'!$D$5:$N$215,9,0)*$H338</f>
        <v>4559.1683602184685</v>
      </c>
      <c r="Q338" s="384">
        <f>VLOOKUP($A338,'8.Non-elective admissions - CCG'!$D$5:$N$215,10,0)*$H338</f>
        <v>4748.009653245269</v>
      </c>
      <c r="R338" s="384">
        <f>VLOOKUP($A338,'8.Non-elective admissions - CCG'!$D$5:$Q$215,11,0)*$H338</f>
        <v>4679.6670900546169</v>
      </c>
      <c r="S338" s="384">
        <f>VLOOKUP($A338,'8.Non-elective admissions - CCG'!$D$5:$Q$215,12,0)*$H338</f>
        <v>4465.6469579575769</v>
      </c>
      <c r="T338" s="384">
        <f>VLOOKUP($A338,'8.Non-elective admissions - CCG'!$D$5:$Q$215,13,0)*$H338</f>
        <v>4513.3069033405309</v>
      </c>
      <c r="U338" s="384">
        <f>VLOOKUP($A338,'8.Non-elective admissions - CCG'!$D$5:$Q$215,14,0)*$H338</f>
        <v>4704.8459291248573</v>
      </c>
    </row>
    <row r="339" spans="1:21">
      <c r="A339" s="395" t="s">
        <v>284</v>
      </c>
      <c r="B339" s="395" t="s">
        <v>283</v>
      </c>
      <c r="C339" s="395" t="s">
        <v>705</v>
      </c>
      <c r="D339" s="395" t="s">
        <v>227</v>
      </c>
      <c r="E339" s="537">
        <f>COUNTIF($D$5:D339,D339)</f>
        <v>8</v>
      </c>
      <c r="F339" s="537" t="str">
        <f t="shared" si="10"/>
        <v>Hertfordshire8</v>
      </c>
      <c r="G339" s="541" t="str">
        <f t="shared" si="11"/>
        <v>NHS Harrow CCG</v>
      </c>
      <c r="H339" s="546">
        <v>5.3862885812269792E-3</v>
      </c>
      <c r="I339" s="546">
        <v>1.1388670916087232E-3</v>
      </c>
      <c r="J339" s="384">
        <f>VLOOKUP($A339,'8.Non-elective admissions - CCG'!$D$5:$N$215,3,0)*$H339</f>
        <v>28.067949796773789</v>
      </c>
      <c r="K339" s="384">
        <f>VLOOKUP($A339,'8.Non-elective admissions - CCG'!$D$5:$N$215,4,0)*$H339</f>
        <v>28.067949796773789</v>
      </c>
      <c r="L339" s="384">
        <f>VLOOKUP($A339,'8.Non-elective admissions - CCG'!$D$5:$N$215,5,0)*$H339</f>
        <v>28.418058554553543</v>
      </c>
      <c r="M339" s="384">
        <f>VLOOKUP($A339,'8.Non-elective admissions - CCG'!$D$5:$N$215,6,0)*$H339</f>
        <v>29.829266162835012</v>
      </c>
      <c r="N339" s="384">
        <f>VLOOKUP($A339,'8.Non-elective admissions - CCG'!$D$5:$N$215,7,0)*$H339</f>
        <v>28.278015051441642</v>
      </c>
      <c r="O339" s="384">
        <f>VLOOKUP($A339,'8.Non-elective admissions - CCG'!$D$5:$N$215,8,0)*$H339</f>
        <v>27.04994125492189</v>
      </c>
      <c r="P339" s="384">
        <f>VLOOKUP($A339,'8.Non-elective admissions - CCG'!$D$5:$N$215,9,0)*$H339</f>
        <v>27.308483106820784</v>
      </c>
      <c r="Q339" s="384">
        <f>VLOOKUP($A339,'8.Non-elective admissions - CCG'!$D$5:$N$215,10,0)*$H339</f>
        <v>28.439603708878451</v>
      </c>
      <c r="R339" s="384">
        <f>VLOOKUP($A339,'8.Non-elective admissions - CCG'!$D$5:$Q$215,11,0)*$H339</f>
        <v>28.0302457767052</v>
      </c>
      <c r="S339" s="384">
        <f>VLOOKUP($A339,'8.Non-elective admissions - CCG'!$D$5:$Q$215,12,0)*$H339</f>
        <v>26.74830909437318</v>
      </c>
      <c r="T339" s="384">
        <f>VLOOKUP($A339,'8.Non-elective admissions - CCG'!$D$5:$Q$215,13,0)*$H339</f>
        <v>27.03378238917821</v>
      </c>
      <c r="U339" s="384">
        <f>VLOOKUP($A339,'8.Non-elective admissions - CCG'!$D$5:$Q$215,14,0)*$H339</f>
        <v>28.181061856979554</v>
      </c>
    </row>
    <row r="340" spans="1:21">
      <c r="A340" s="395" t="s">
        <v>284</v>
      </c>
      <c r="B340" s="395" t="s">
        <v>283</v>
      </c>
      <c r="C340" s="395" t="s">
        <v>706</v>
      </c>
      <c r="D340" s="395" t="s">
        <v>231</v>
      </c>
      <c r="E340" s="537">
        <f>COUNTIF($D$5:D340,D340)</f>
        <v>4</v>
      </c>
      <c r="F340" s="537" t="str">
        <f t="shared" si="10"/>
        <v>Hillingdon4</v>
      </c>
      <c r="G340" s="541" t="str">
        <f t="shared" si="11"/>
        <v>NHS Harrow CCG</v>
      </c>
      <c r="H340" s="546">
        <v>2.4029912358694273E-2</v>
      </c>
      <c r="I340" s="546">
        <v>1.9596355220353797E-2</v>
      </c>
      <c r="J340" s="384">
        <f>VLOOKUP($A340,'8.Non-elective admissions - CCG'!$D$5:$N$215,3,0)*$H340</f>
        <v>125.21987330115586</v>
      </c>
      <c r="K340" s="384">
        <f>VLOOKUP($A340,'8.Non-elective admissions - CCG'!$D$5:$N$215,4,0)*$H340</f>
        <v>125.21987330115586</v>
      </c>
      <c r="L340" s="384">
        <f>VLOOKUP($A340,'8.Non-elective admissions - CCG'!$D$5:$N$215,5,0)*$H340</f>
        <v>126.78181760447099</v>
      </c>
      <c r="M340" s="384">
        <f>VLOOKUP($A340,'8.Non-elective admissions - CCG'!$D$5:$N$215,6,0)*$H340</f>
        <v>133.07765464244889</v>
      </c>
      <c r="N340" s="384">
        <f>VLOOKUP($A340,'8.Non-elective admissions - CCG'!$D$5:$N$215,7,0)*$H340</f>
        <v>126.15703988314493</v>
      </c>
      <c r="O340" s="384">
        <f>VLOOKUP($A340,'8.Non-elective admissions - CCG'!$D$5:$N$215,8,0)*$H340</f>
        <v>120.67821986536264</v>
      </c>
      <c r="P340" s="384">
        <f>VLOOKUP($A340,'8.Non-elective admissions - CCG'!$D$5:$N$215,9,0)*$H340</f>
        <v>121.83165565857996</v>
      </c>
      <c r="Q340" s="384">
        <f>VLOOKUP($A340,'8.Non-elective admissions - CCG'!$D$5:$N$215,10,0)*$H340</f>
        <v>126.87793725390576</v>
      </c>
      <c r="R340" s="384">
        <f>VLOOKUP($A340,'8.Non-elective admissions - CCG'!$D$5:$Q$215,11,0)*$H340</f>
        <v>125.05166391464499</v>
      </c>
      <c r="S340" s="384">
        <f>VLOOKUP($A340,'8.Non-elective admissions - CCG'!$D$5:$Q$215,12,0)*$H340</f>
        <v>119.33254477327576</v>
      </c>
      <c r="T340" s="384">
        <f>VLOOKUP($A340,'8.Non-elective admissions - CCG'!$D$5:$Q$215,13,0)*$H340</f>
        <v>120.60613012828655</v>
      </c>
      <c r="U340" s="384">
        <f>VLOOKUP($A340,'8.Non-elective admissions - CCG'!$D$5:$Q$215,14,0)*$H340</f>
        <v>125.72450146068843</v>
      </c>
    </row>
    <row r="341" spans="1:21">
      <c r="A341" s="395" t="s">
        <v>287</v>
      </c>
      <c r="B341" s="395" t="s">
        <v>1226</v>
      </c>
      <c r="C341" s="395" t="s">
        <v>677</v>
      </c>
      <c r="D341" s="395" t="s">
        <v>124</v>
      </c>
      <c r="E341" s="537">
        <f>COUNTIF($D$5:D341,D341)</f>
        <v>3</v>
      </c>
      <c r="F341" s="537" t="str">
        <f t="shared" si="10"/>
        <v>County Durham3</v>
      </c>
      <c r="G341" s="541" t="str">
        <f t="shared" si="11"/>
        <v>NHS Hartlepool and Stockton-On-Tees CCG</v>
      </c>
      <c r="H341" s="546">
        <v>1.0619126187733697E-3</v>
      </c>
      <c r="I341" s="546">
        <v>0</v>
      </c>
      <c r="J341" s="384">
        <f>VLOOKUP($A341,'8.Non-elective admissions - CCG'!$D$5:$N$215,3,0)*$H341</f>
        <v>8.2839803390510571</v>
      </c>
      <c r="K341" s="384">
        <f>VLOOKUP($A341,'8.Non-elective admissions - CCG'!$D$5:$N$215,4,0)*$H341</f>
        <v>7.9335491748558447</v>
      </c>
      <c r="L341" s="384">
        <f>VLOOKUP($A341,'8.Non-elective admissions - CCG'!$D$5:$N$215,5,0)*$H341</f>
        <v>8.2064607178806011</v>
      </c>
      <c r="M341" s="384">
        <f>VLOOKUP($A341,'8.Non-elective admissions - CCG'!$D$5:$N$215,6,0)*$H341</f>
        <v>7.8581533789229354</v>
      </c>
      <c r="N341" s="384">
        <f>VLOOKUP($A341,'8.Non-elective admissions - CCG'!$D$5:$N$215,7,0)*$H341</f>
        <v>8.0354927862580894</v>
      </c>
      <c r="O341" s="384">
        <f>VLOOKUP($A341,'8.Non-elective admissions - CCG'!$D$5:$N$215,8,0)*$H341</f>
        <v>7.9367349127121649</v>
      </c>
      <c r="P341" s="384">
        <f>VLOOKUP($A341,'8.Non-elective admissions - CCG'!$D$5:$N$215,9,0)*$H341</f>
        <v>8.1830986402675876</v>
      </c>
      <c r="Q341" s="384">
        <f>VLOOKUP($A341,'8.Non-elective admissions - CCG'!$D$5:$N$215,10,0)*$H341</f>
        <v>8.1002694560032644</v>
      </c>
      <c r="R341" s="384">
        <f>VLOOKUP($A341,'8.Non-elective admissions - CCG'!$D$5:$Q$215,11,0)*$H341</f>
        <v>7.6383374668368482</v>
      </c>
      <c r="S341" s="384">
        <f>VLOOKUP($A341,'8.Non-elective admissions - CCG'!$D$5:$Q$215,12,0)*$H341</f>
        <v>7.5448891563847917</v>
      </c>
      <c r="T341" s="384">
        <f>VLOOKUP($A341,'8.Non-elective admissions - CCG'!$D$5:$Q$215,13,0)*$H341</f>
        <v>7.7785099325149334</v>
      </c>
      <c r="U341" s="384">
        <f>VLOOKUP($A341,'8.Non-elective admissions - CCG'!$D$5:$Q$215,14,0)*$H341</f>
        <v>7.6999283987257039</v>
      </c>
    </row>
    <row r="342" spans="1:21">
      <c r="A342" s="395" t="s">
        <v>287</v>
      </c>
      <c r="B342" s="395" t="s">
        <v>1226</v>
      </c>
      <c r="C342" s="395" t="s">
        <v>681</v>
      </c>
      <c r="D342" s="395" t="s">
        <v>139</v>
      </c>
      <c r="E342" s="537">
        <f>COUNTIF($D$5:D342,D342)</f>
        <v>3</v>
      </c>
      <c r="F342" s="537" t="str">
        <f t="shared" si="10"/>
        <v>Darlington3</v>
      </c>
      <c r="G342" s="541" t="str">
        <f t="shared" si="11"/>
        <v>NHS Hartlepool and Stockton-On-Tees CCG</v>
      </c>
      <c r="H342" s="546">
        <v>1.7260403803515032E-3</v>
      </c>
      <c r="I342" s="546">
        <v>4.6052327995939274E-3</v>
      </c>
      <c r="J342" s="384">
        <f>VLOOKUP($A342,'8.Non-elective admissions - CCG'!$D$5:$N$215,3,0)*$H342</f>
        <v>13.464841007122077</v>
      </c>
      <c r="K342" s="384">
        <f>VLOOKUP($A342,'8.Non-elective admissions - CCG'!$D$5:$N$215,4,0)*$H342</f>
        <v>12.895247681606081</v>
      </c>
      <c r="L342" s="384">
        <f>VLOOKUP($A342,'8.Non-elective admissions - CCG'!$D$5:$N$215,5,0)*$H342</f>
        <v>13.338840059356416</v>
      </c>
      <c r="M342" s="384">
        <f>VLOOKUP($A342,'8.Non-elective admissions - CCG'!$D$5:$N$215,6,0)*$H342</f>
        <v>12.772698814601124</v>
      </c>
      <c r="N342" s="384">
        <f>VLOOKUP($A342,'8.Non-elective admissions - CCG'!$D$5:$N$215,7,0)*$H342</f>
        <v>13.060947558119825</v>
      </c>
      <c r="O342" s="384">
        <f>VLOOKUP($A342,'8.Non-elective admissions - CCG'!$D$5:$N$215,8,0)*$H342</f>
        <v>12.900425802747135</v>
      </c>
      <c r="P342" s="384">
        <f>VLOOKUP($A342,'8.Non-elective admissions - CCG'!$D$5:$N$215,9,0)*$H342</f>
        <v>13.300867170988683</v>
      </c>
      <c r="Q342" s="384">
        <f>VLOOKUP($A342,'8.Non-elective admissions - CCG'!$D$5:$N$215,10,0)*$H342</f>
        <v>13.166236021321266</v>
      </c>
      <c r="R342" s="384">
        <f>VLOOKUP($A342,'8.Non-elective admissions - CCG'!$D$5:$Q$215,11,0)*$H342</f>
        <v>12.415408455868363</v>
      </c>
      <c r="S342" s="384">
        <f>VLOOKUP($A342,'8.Non-elective admissions - CCG'!$D$5:$Q$215,12,0)*$H342</f>
        <v>12.263516902397431</v>
      </c>
      <c r="T342" s="384">
        <f>VLOOKUP($A342,'8.Non-elective admissions - CCG'!$D$5:$Q$215,13,0)*$H342</f>
        <v>12.643245786074761</v>
      </c>
      <c r="U342" s="384">
        <f>VLOOKUP($A342,'8.Non-elective admissions - CCG'!$D$5:$Q$215,14,0)*$H342</f>
        <v>12.515518797928749</v>
      </c>
    </row>
    <row r="343" spans="1:21">
      <c r="A343" s="395" t="s">
        <v>287</v>
      </c>
      <c r="B343" s="395" t="s">
        <v>1226</v>
      </c>
      <c r="C343" s="395" t="s">
        <v>702</v>
      </c>
      <c r="D343" s="395" t="s">
        <v>215</v>
      </c>
      <c r="E343" s="537">
        <f>COUNTIF($D$5:D343,D343)</f>
        <v>2</v>
      </c>
      <c r="F343" s="537" t="str">
        <f t="shared" si="10"/>
        <v>Hartlepool2</v>
      </c>
      <c r="G343" s="541" t="str">
        <f t="shared" si="11"/>
        <v>NHS Hartlepool and Stockton-On-Tees CCG</v>
      </c>
      <c r="H343" s="546">
        <v>0.31902345547057948</v>
      </c>
      <c r="I343" s="546">
        <v>0.99648857436119076</v>
      </c>
      <c r="J343" s="384">
        <f>VLOOKUP($A343,'8.Non-elective admissions - CCG'!$D$5:$N$215,3,0)*$H343</f>
        <v>2488.7019761259903</v>
      </c>
      <c r="K343" s="384">
        <f>VLOOKUP($A343,'8.Non-elective admissions - CCG'!$D$5:$N$215,4,0)*$H343</f>
        <v>2383.4242358206993</v>
      </c>
      <c r="L343" s="384">
        <f>VLOOKUP($A343,'8.Non-elective admissions - CCG'!$D$5:$N$215,5,0)*$H343</f>
        <v>2465.4132638766382</v>
      </c>
      <c r="M343" s="384">
        <f>VLOOKUP($A343,'8.Non-elective admissions - CCG'!$D$5:$N$215,6,0)*$H343</f>
        <v>2360.7735704822881</v>
      </c>
      <c r="N343" s="384">
        <f>VLOOKUP($A343,'8.Non-elective admissions - CCG'!$D$5:$N$215,7,0)*$H343</f>
        <v>2414.0504875458751</v>
      </c>
      <c r="O343" s="384">
        <f>VLOOKUP($A343,'8.Non-elective admissions - CCG'!$D$5:$N$215,8,0)*$H343</f>
        <v>2384.381306187111</v>
      </c>
      <c r="P343" s="384">
        <f>VLOOKUP($A343,'8.Non-elective admissions - CCG'!$D$5:$N$215,9,0)*$H343</f>
        <v>2458.3947478562854</v>
      </c>
      <c r="Q343" s="384">
        <f>VLOOKUP($A343,'8.Non-elective admissions - CCG'!$D$5:$N$215,10,0)*$H343</f>
        <v>2433.5109183295804</v>
      </c>
      <c r="R343" s="384">
        <f>VLOOKUP($A343,'8.Non-elective admissions - CCG'!$D$5:$Q$215,11,0)*$H343</f>
        <v>2294.7357151998781</v>
      </c>
      <c r="S343" s="384">
        <f>VLOOKUP($A343,'8.Non-elective admissions - CCG'!$D$5:$Q$215,12,0)*$H343</f>
        <v>2266.661651118467</v>
      </c>
      <c r="T343" s="384">
        <f>VLOOKUP($A343,'8.Non-elective admissions - CCG'!$D$5:$Q$215,13,0)*$H343</f>
        <v>2336.8468113219947</v>
      </c>
      <c r="U343" s="384">
        <f>VLOOKUP($A343,'8.Non-elective admissions - CCG'!$D$5:$Q$215,14,0)*$H343</f>
        <v>2313.2390756171717</v>
      </c>
    </row>
    <row r="344" spans="1:21">
      <c r="A344" s="395" t="s">
        <v>287</v>
      </c>
      <c r="B344" s="395" t="s">
        <v>1226</v>
      </c>
      <c r="C344" s="395" t="s">
        <v>729</v>
      </c>
      <c r="D344" s="395" t="s">
        <v>303</v>
      </c>
      <c r="E344" s="537">
        <f>COUNTIF($D$5:D344,D344)</f>
        <v>2</v>
      </c>
      <c r="F344" s="537" t="str">
        <f t="shared" si="10"/>
        <v>Middlesbrough2</v>
      </c>
      <c r="G344" s="541" t="str">
        <f t="shared" si="11"/>
        <v>NHS Hartlepool and Stockton-On-Tees CCG</v>
      </c>
      <c r="H344" s="546">
        <v>1.1241745964213196E-3</v>
      </c>
      <c r="I344" s="546">
        <v>2.1454552656073617E-3</v>
      </c>
      <c r="J344" s="384">
        <f>VLOOKUP($A344,'8.Non-elective admissions - CCG'!$D$5:$N$215,3,0)*$H344</f>
        <v>8.7696860266827148</v>
      </c>
      <c r="K344" s="384">
        <f>VLOOKUP($A344,'8.Non-elective admissions - CCG'!$D$5:$N$215,4,0)*$H344</f>
        <v>8.3987084098636782</v>
      </c>
      <c r="L344" s="384">
        <f>VLOOKUP($A344,'8.Non-elective admissions - CCG'!$D$5:$N$215,5,0)*$H344</f>
        <v>8.6876212811439579</v>
      </c>
      <c r="M344" s="384">
        <f>VLOOKUP($A344,'8.Non-elective admissions - CCG'!$D$5:$N$215,6,0)*$H344</f>
        <v>8.3188920135177646</v>
      </c>
      <c r="N344" s="384">
        <f>VLOOKUP($A344,'8.Non-elective admissions - CCG'!$D$5:$N$215,7,0)*$H344</f>
        <v>8.5066291711201245</v>
      </c>
      <c r="O344" s="384">
        <f>VLOOKUP($A344,'8.Non-elective admissions - CCG'!$D$5:$N$215,8,0)*$H344</f>
        <v>8.4020809336529432</v>
      </c>
      <c r="P344" s="384">
        <f>VLOOKUP($A344,'8.Non-elective admissions - CCG'!$D$5:$N$215,9,0)*$H344</f>
        <v>8.6628894400226883</v>
      </c>
      <c r="Q344" s="384">
        <f>VLOOKUP($A344,'8.Non-elective admissions - CCG'!$D$5:$N$215,10,0)*$H344</f>
        <v>8.5752038215018267</v>
      </c>
      <c r="R344" s="384">
        <f>VLOOKUP($A344,'8.Non-elective admissions - CCG'!$D$5:$Q$215,11,0)*$H344</f>
        <v>8.0861878720585523</v>
      </c>
      <c r="S344" s="384">
        <f>VLOOKUP($A344,'8.Non-elective admissions - CCG'!$D$5:$Q$215,12,0)*$H344</f>
        <v>7.9872605075734757</v>
      </c>
      <c r="T344" s="384">
        <f>VLOOKUP($A344,'8.Non-elective admissions - CCG'!$D$5:$Q$215,13,0)*$H344</f>
        <v>8.2345789187861662</v>
      </c>
      <c r="U344" s="384">
        <f>VLOOKUP($A344,'8.Non-elective admissions - CCG'!$D$5:$Q$215,14,0)*$H344</f>
        <v>8.1513899986509877</v>
      </c>
    </row>
    <row r="345" spans="1:21">
      <c r="A345" s="395" t="s">
        <v>287</v>
      </c>
      <c r="B345" s="395" t="s">
        <v>1226</v>
      </c>
      <c r="C345" s="395" t="s">
        <v>738</v>
      </c>
      <c r="D345" s="395" t="s">
        <v>330</v>
      </c>
      <c r="E345" s="537">
        <f>COUNTIF($D$5:D345,D345)</f>
        <v>10</v>
      </c>
      <c r="F345" s="537" t="str">
        <f t="shared" si="10"/>
        <v>North Yorkshire10</v>
      </c>
      <c r="G345" s="541" t="str">
        <f t="shared" si="11"/>
        <v>NHS Hartlepool and Stockton-On-Tees CCG</v>
      </c>
      <c r="H345" s="546">
        <v>1.5530904424405309E-3</v>
      </c>
      <c r="I345" s="546">
        <v>0</v>
      </c>
      <c r="J345" s="384">
        <f>VLOOKUP($A345,'8.Non-elective admissions - CCG'!$D$5:$N$215,3,0)*$H345</f>
        <v>12.115658541478581</v>
      </c>
      <c r="K345" s="384">
        <f>VLOOKUP($A345,'8.Non-elective admissions - CCG'!$D$5:$N$215,4,0)*$H345</f>
        <v>11.603138695473206</v>
      </c>
      <c r="L345" s="384">
        <f>VLOOKUP($A345,'8.Non-elective admissions - CCG'!$D$5:$N$215,5,0)*$H345</f>
        <v>12.002282939180422</v>
      </c>
      <c r="M345" s="384">
        <f>VLOOKUP($A345,'8.Non-elective admissions - CCG'!$D$5:$N$215,6,0)*$H345</f>
        <v>11.492869274059929</v>
      </c>
      <c r="N345" s="384">
        <f>VLOOKUP($A345,'8.Non-elective admissions - CCG'!$D$5:$N$215,7,0)*$H345</f>
        <v>11.752235377947496</v>
      </c>
      <c r="O345" s="384">
        <f>VLOOKUP($A345,'8.Non-elective admissions - CCG'!$D$5:$N$215,8,0)*$H345</f>
        <v>11.607797966800527</v>
      </c>
      <c r="P345" s="384">
        <f>VLOOKUP($A345,'8.Non-elective admissions - CCG'!$D$5:$N$215,9,0)*$H345</f>
        <v>11.968114949446731</v>
      </c>
      <c r="Q345" s="384">
        <f>VLOOKUP($A345,'8.Non-elective admissions - CCG'!$D$5:$N$215,10,0)*$H345</f>
        <v>11.846973894936369</v>
      </c>
      <c r="R345" s="384">
        <f>VLOOKUP($A345,'8.Non-elective admissions - CCG'!$D$5:$Q$215,11,0)*$H345</f>
        <v>11.171379552474738</v>
      </c>
      <c r="S345" s="384">
        <f>VLOOKUP($A345,'8.Non-elective admissions - CCG'!$D$5:$Q$215,12,0)*$H345</f>
        <v>11.034707593539972</v>
      </c>
      <c r="T345" s="384">
        <f>VLOOKUP($A345,'8.Non-elective admissions - CCG'!$D$5:$Q$215,13,0)*$H345</f>
        <v>11.376387490876889</v>
      </c>
      <c r="U345" s="384">
        <f>VLOOKUP($A345,'8.Non-elective admissions - CCG'!$D$5:$Q$215,14,0)*$H345</f>
        <v>11.261458798136289</v>
      </c>
    </row>
    <row r="346" spans="1:21">
      <c r="A346" s="395" t="s">
        <v>287</v>
      </c>
      <c r="B346" s="395" t="s">
        <v>1226</v>
      </c>
      <c r="C346" s="395" t="s">
        <v>771</v>
      </c>
      <c r="D346" s="395" t="s">
        <v>429</v>
      </c>
      <c r="E346" s="537">
        <f>COUNTIF($D$5:D346,D346)</f>
        <v>4</v>
      </c>
      <c r="F346" s="537" t="str">
        <f t="shared" si="10"/>
        <v>Stockton-on-Tees4</v>
      </c>
      <c r="G346" s="541" t="str">
        <f t="shared" si="11"/>
        <v>NHS Hartlepool and Stockton-On-Tees CCG</v>
      </c>
      <c r="H346" s="546">
        <v>0.67551132649143375</v>
      </c>
      <c r="I346" s="546">
        <v>0.98759507241686229</v>
      </c>
      <c r="J346" s="384">
        <f>VLOOKUP($A346,'8.Non-elective admissions - CCG'!$D$5:$N$215,3,0)*$H346</f>
        <v>5269.6638579596747</v>
      </c>
      <c r="K346" s="384">
        <f>VLOOKUP($A346,'8.Non-elective admissions - CCG'!$D$5:$N$215,4,0)*$H346</f>
        <v>5046.7451202175016</v>
      </c>
      <c r="L346" s="384">
        <f>VLOOKUP($A346,'8.Non-elective admissions - CCG'!$D$5:$N$215,5,0)*$H346</f>
        <v>5220.3515311257997</v>
      </c>
      <c r="M346" s="384">
        <f>VLOOKUP($A346,'8.Non-elective admissions - CCG'!$D$5:$N$215,6,0)*$H346</f>
        <v>4998.78381603661</v>
      </c>
      <c r="N346" s="384">
        <f>VLOOKUP($A346,'8.Non-elective admissions - CCG'!$D$5:$N$215,7,0)*$H346</f>
        <v>5111.594207560679</v>
      </c>
      <c r="O346" s="384">
        <f>VLOOKUP($A346,'8.Non-elective admissions - CCG'!$D$5:$N$215,8,0)*$H346</f>
        <v>5048.7716541969758</v>
      </c>
      <c r="P346" s="384">
        <f>VLOOKUP($A346,'8.Non-elective admissions - CCG'!$D$5:$N$215,9,0)*$H346</f>
        <v>5205.4902819429881</v>
      </c>
      <c r="Q346" s="384">
        <f>VLOOKUP($A346,'8.Non-elective admissions - CCG'!$D$5:$N$215,10,0)*$H346</f>
        <v>5152.8003984766565</v>
      </c>
      <c r="R346" s="384">
        <f>VLOOKUP($A346,'8.Non-elective admissions - CCG'!$D$5:$Q$215,11,0)*$H346</f>
        <v>4858.9529714528826</v>
      </c>
      <c r="S346" s="384">
        <f>VLOOKUP($A346,'8.Non-elective admissions - CCG'!$D$5:$Q$215,12,0)*$H346</f>
        <v>4799.5079747216369</v>
      </c>
      <c r="T346" s="384">
        <f>VLOOKUP($A346,'8.Non-elective admissions - CCG'!$D$5:$Q$215,13,0)*$H346</f>
        <v>4948.1204665497526</v>
      </c>
      <c r="U346" s="384">
        <f>VLOOKUP($A346,'8.Non-elective admissions - CCG'!$D$5:$Q$215,14,0)*$H346</f>
        <v>4898.1326283893859</v>
      </c>
    </row>
    <row r="347" spans="1:21">
      <c r="A347" s="395" t="s">
        <v>290</v>
      </c>
      <c r="B347" s="395" t="s">
        <v>1245</v>
      </c>
      <c r="C347" s="395" t="s">
        <v>690</v>
      </c>
      <c r="D347" s="395" t="s">
        <v>173</v>
      </c>
      <c r="E347" s="537">
        <f>COUNTIF($D$5:D347,D347)</f>
        <v>3</v>
      </c>
      <c r="F347" s="537" t="str">
        <f t="shared" si="10"/>
        <v>East Sussex3</v>
      </c>
      <c r="G347" s="541" t="str">
        <f t="shared" si="11"/>
        <v>NHS Hastings and Rother CCG</v>
      </c>
      <c r="H347" s="546">
        <v>0.9968622034184037</v>
      </c>
      <c r="I347" s="546">
        <v>0.33334060714506525</v>
      </c>
      <c r="J347" s="384">
        <f>VLOOKUP($A347,'8.Non-elective admissions - CCG'!$D$5:$N$215,3,0)*$H347</f>
        <v>4586.5629979280757</v>
      </c>
      <c r="K347" s="384">
        <f>VLOOKUP($A347,'8.Non-elective admissions - CCG'!$D$5:$N$215,4,0)*$H347</f>
        <v>4702.1990135246106</v>
      </c>
      <c r="L347" s="384">
        <f>VLOOKUP($A347,'8.Non-elective admissions - CCG'!$D$5:$N$215,5,0)*$H347</f>
        <v>5270.4104694731004</v>
      </c>
      <c r="M347" s="384">
        <f>VLOOKUP($A347,'8.Non-elective admissions - CCG'!$D$5:$N$215,6,0)*$H347</f>
        <v>5233.5265679466193</v>
      </c>
      <c r="N347" s="384">
        <f>VLOOKUP($A347,'8.Non-elective admissions - CCG'!$D$5:$N$215,7,0)*$H347</f>
        <v>4088.1318962188734</v>
      </c>
      <c r="O347" s="384">
        <f>VLOOKUP($A347,'8.Non-elective admissions - CCG'!$D$5:$N$215,8,0)*$H347</f>
        <v>4132.9906953727013</v>
      </c>
      <c r="P347" s="384">
        <f>VLOOKUP($A347,'8.Non-elective admissions - CCG'!$D$5:$N$215,9,0)*$H347</f>
        <v>4132.9906953727013</v>
      </c>
      <c r="Q347" s="384">
        <f>VLOOKUP($A347,'8.Non-elective admissions - CCG'!$D$5:$N$215,10,0)*$H347</f>
        <v>4046.2636836753009</v>
      </c>
      <c r="R347" s="384">
        <f>VLOOKUP($A347,'8.Non-elective admissions - CCG'!$D$5:$Q$215,11,0)*$H347</f>
        <v>4130.0001087624469</v>
      </c>
      <c r="S347" s="384">
        <f>VLOOKUP($A347,'8.Non-elective admissions - CCG'!$D$5:$Q$215,12,0)*$H347</f>
        <v>4174.8589079162748</v>
      </c>
      <c r="T347" s="384">
        <f>VLOOKUP($A347,'8.Non-elective admissions - CCG'!$D$5:$Q$215,13,0)*$H347</f>
        <v>4174.8589079162748</v>
      </c>
      <c r="U347" s="384">
        <f>VLOOKUP($A347,'8.Non-elective admissions - CCG'!$D$5:$Q$215,14,0)*$H347</f>
        <v>4087.1350340154554</v>
      </c>
    </row>
    <row r="348" spans="1:21">
      <c r="A348" s="395" t="s">
        <v>290</v>
      </c>
      <c r="B348" s="395" t="s">
        <v>1245</v>
      </c>
      <c r="C348" s="395" t="s">
        <v>712</v>
      </c>
      <c r="D348" s="395" t="s">
        <v>252</v>
      </c>
      <c r="E348" s="537">
        <f>COUNTIF($D$5:D348,D348)</f>
        <v>8</v>
      </c>
      <c r="F348" s="537" t="str">
        <f t="shared" si="10"/>
        <v>Kent8</v>
      </c>
      <c r="G348" s="541" t="str">
        <f t="shared" si="11"/>
        <v>NHS Hastings and Rother CCG</v>
      </c>
      <c r="H348" s="546">
        <v>3.1377965815963063E-3</v>
      </c>
      <c r="I348" s="546">
        <v>0</v>
      </c>
      <c r="J348" s="384">
        <f>VLOOKUP($A348,'8.Non-elective admissions - CCG'!$D$5:$N$215,3,0)*$H348</f>
        <v>14.437002071924605</v>
      </c>
      <c r="K348" s="384">
        <f>VLOOKUP($A348,'8.Non-elective admissions - CCG'!$D$5:$N$215,4,0)*$H348</f>
        <v>14.800986475389777</v>
      </c>
      <c r="L348" s="384">
        <f>VLOOKUP($A348,'8.Non-elective admissions - CCG'!$D$5:$N$215,5,0)*$H348</f>
        <v>16.589530526899672</v>
      </c>
      <c r="M348" s="384">
        <f>VLOOKUP($A348,'8.Non-elective admissions - CCG'!$D$5:$N$215,6,0)*$H348</f>
        <v>16.473432053380609</v>
      </c>
      <c r="N348" s="384">
        <f>VLOOKUP($A348,'8.Non-elective admissions - CCG'!$D$5:$N$215,7,0)*$H348</f>
        <v>12.868103781126452</v>
      </c>
      <c r="O348" s="384">
        <f>VLOOKUP($A348,'8.Non-elective admissions - CCG'!$D$5:$N$215,8,0)*$H348</f>
        <v>13.009304627298286</v>
      </c>
      <c r="P348" s="384">
        <f>VLOOKUP($A348,'8.Non-elective admissions - CCG'!$D$5:$N$215,9,0)*$H348</f>
        <v>13.009304627298286</v>
      </c>
      <c r="Q348" s="384">
        <f>VLOOKUP($A348,'8.Non-elective admissions - CCG'!$D$5:$N$215,10,0)*$H348</f>
        <v>12.736316324699407</v>
      </c>
      <c r="R348" s="384">
        <f>VLOOKUP($A348,'8.Non-elective admissions - CCG'!$D$5:$Q$215,11,0)*$H348</f>
        <v>12.999891237553497</v>
      </c>
      <c r="S348" s="384">
        <f>VLOOKUP($A348,'8.Non-elective admissions - CCG'!$D$5:$Q$215,12,0)*$H348</f>
        <v>13.141092083725331</v>
      </c>
      <c r="T348" s="384">
        <f>VLOOKUP($A348,'8.Non-elective admissions - CCG'!$D$5:$Q$215,13,0)*$H348</f>
        <v>13.141092083725331</v>
      </c>
      <c r="U348" s="384">
        <f>VLOOKUP($A348,'8.Non-elective admissions - CCG'!$D$5:$Q$215,14,0)*$H348</f>
        <v>12.864965984544856</v>
      </c>
    </row>
    <row r="349" spans="1:21">
      <c r="A349" s="395" t="s">
        <v>293</v>
      </c>
      <c r="B349" s="395" t="s">
        <v>292</v>
      </c>
      <c r="C349" s="395" t="s">
        <v>650</v>
      </c>
      <c r="D349" s="395" t="s">
        <v>9</v>
      </c>
      <c r="E349" s="537">
        <f>COUNTIF($D$5:D349,D349)</f>
        <v>2</v>
      </c>
      <c r="F349" s="537" t="str">
        <f t="shared" si="10"/>
        <v>Barking and Dagenham2</v>
      </c>
      <c r="G349" s="541" t="str">
        <f t="shared" si="11"/>
        <v>NHS Havering CCG</v>
      </c>
      <c r="H349" s="546">
        <v>6.1617840303006877E-2</v>
      </c>
      <c r="I349" s="546">
        <v>7.662104231146312E-2</v>
      </c>
      <c r="J349" s="384">
        <f>VLOOKUP($A349,'8.Non-elective admissions - CCG'!$D$5:$N$215,3,0)*$H349</f>
        <v>400.26949060833266</v>
      </c>
      <c r="K349" s="384">
        <f>VLOOKUP($A349,'8.Non-elective admissions - CCG'!$D$5:$N$215,4,0)*$H349</f>
        <v>383.13973100409675</v>
      </c>
      <c r="L349" s="384">
        <f>VLOOKUP($A349,'8.Non-elective admissions - CCG'!$D$5:$N$215,5,0)*$H349</f>
        <v>380.5517817113705</v>
      </c>
      <c r="M349" s="384">
        <f>VLOOKUP($A349,'8.Non-elective admissions - CCG'!$D$5:$N$215,6,0)*$H349</f>
        <v>417.52248589317458</v>
      </c>
      <c r="N349" s="384">
        <f>VLOOKUP($A349,'8.Non-elective admissions - CCG'!$D$5:$N$215,7,0)*$H349</f>
        <v>373.08360087810155</v>
      </c>
      <c r="O349" s="384">
        <f>VLOOKUP($A349,'8.Non-elective admissions - CCG'!$D$5:$N$215,8,0)*$H349</f>
        <v>356.65713497951612</v>
      </c>
      <c r="P349" s="384">
        <f>VLOOKUP($A349,'8.Non-elective admissions - CCG'!$D$5:$N$215,9,0)*$H349</f>
        <v>354.52794899319781</v>
      </c>
      <c r="Q349" s="384">
        <f>VLOOKUP($A349,'8.Non-elective admissions - CCG'!$D$5:$N$215,10,0)*$H349</f>
        <v>392.77740205302621</v>
      </c>
      <c r="R349" s="384">
        <f>VLOOKUP($A349,'8.Non-elective admissions - CCG'!$D$5:$Q$215,11,0)*$H349</f>
        <v>377.89637932203493</v>
      </c>
      <c r="S349" s="384">
        <f>VLOOKUP($A349,'8.Non-elective admissions - CCG'!$D$5:$Q$215,12,0)*$H349</f>
        <v>361.25801201643861</v>
      </c>
      <c r="T349" s="384">
        <f>VLOOKUP($A349,'8.Non-elective admissions - CCG'!$D$5:$Q$215,13,0)*$H349</f>
        <v>357.8923695500676</v>
      </c>
      <c r="U349" s="384">
        <f>VLOOKUP($A349,'8.Non-elective admissions - CCG'!$D$5:$Q$215,14,0)*$H349</f>
        <v>393.7231605781808</v>
      </c>
    </row>
    <row r="350" spans="1:21">
      <c r="A350" s="395" t="s">
        <v>293</v>
      </c>
      <c r="B350" s="395" t="s">
        <v>292</v>
      </c>
      <c r="C350" s="395" t="s">
        <v>692</v>
      </c>
      <c r="D350" s="395" t="s">
        <v>180</v>
      </c>
      <c r="E350" s="537">
        <f>COUNTIF($D$5:D350,D350)</f>
        <v>5</v>
      </c>
      <c r="F350" s="537" t="str">
        <f t="shared" si="10"/>
        <v>Essex5</v>
      </c>
      <c r="G350" s="541" t="str">
        <f t="shared" si="11"/>
        <v>NHS Havering CCG</v>
      </c>
      <c r="H350" s="546">
        <v>1.3449795161165649E-3</v>
      </c>
      <c r="I350" s="546">
        <v>0</v>
      </c>
      <c r="J350" s="384">
        <f>VLOOKUP($A350,'8.Non-elective admissions - CCG'!$D$5:$N$215,3,0)*$H350</f>
        <v>8.7369869366932065</v>
      </c>
      <c r="K350" s="384">
        <f>VLOOKUP($A350,'8.Non-elective admissions - CCG'!$D$5:$N$215,4,0)*$H350</f>
        <v>8.3630826312127997</v>
      </c>
      <c r="L350" s="384">
        <f>VLOOKUP($A350,'8.Non-elective admissions - CCG'!$D$5:$N$215,5,0)*$H350</f>
        <v>8.3065934915359048</v>
      </c>
      <c r="M350" s="384">
        <f>VLOOKUP($A350,'8.Non-elective admissions - CCG'!$D$5:$N$215,6,0)*$H350</f>
        <v>9.113581201205843</v>
      </c>
      <c r="N350" s="384">
        <f>VLOOKUP($A350,'8.Non-elective admissions - CCG'!$D$5:$N$215,7,0)*$H350</f>
        <v>8.1435798222153508</v>
      </c>
      <c r="O350" s="384">
        <f>VLOOKUP($A350,'8.Non-elective admissions - CCG'!$D$5:$N$215,8,0)*$H350</f>
        <v>7.7850268439359978</v>
      </c>
      <c r="P350" s="384">
        <f>VLOOKUP($A350,'8.Non-elective admissions - CCG'!$D$5:$N$215,9,0)*$H350</f>
        <v>7.7385514802504449</v>
      </c>
      <c r="Q350" s="384">
        <f>VLOOKUP($A350,'8.Non-elective admissions - CCG'!$D$5:$N$215,10,0)*$H350</f>
        <v>8.5734514153204007</v>
      </c>
      <c r="R350" s="384">
        <f>VLOOKUP($A350,'8.Non-elective admissions - CCG'!$D$5:$Q$215,11,0)*$H350</f>
        <v>8.2486320017605319</v>
      </c>
      <c r="S350" s="384">
        <f>VLOOKUP($A350,'8.Non-elective admissions - CCG'!$D$5:$Q$215,12,0)*$H350</f>
        <v>7.8854536901286236</v>
      </c>
      <c r="T350" s="384">
        <f>VLOOKUP($A350,'8.Non-elective admissions - CCG'!$D$5:$Q$215,13,0)*$H350</f>
        <v>7.8119892494150109</v>
      </c>
      <c r="U350" s="384">
        <f>VLOOKUP($A350,'8.Non-elective admissions - CCG'!$D$5:$Q$215,14,0)*$H350</f>
        <v>8.5940952067494774</v>
      </c>
    </row>
    <row r="351" spans="1:21">
      <c r="A351" s="395" t="s">
        <v>293</v>
      </c>
      <c r="B351" s="395" t="s">
        <v>292</v>
      </c>
      <c r="C351" s="395" t="s">
        <v>703</v>
      </c>
      <c r="D351" s="395" t="s">
        <v>219</v>
      </c>
      <c r="E351" s="537">
        <f>COUNTIF($D$5:D351,D351)</f>
        <v>2</v>
      </c>
      <c r="F351" s="537" t="str">
        <f t="shared" si="10"/>
        <v>Havering2</v>
      </c>
      <c r="G351" s="541" t="str">
        <f t="shared" si="11"/>
        <v>NHS Havering CCG</v>
      </c>
      <c r="H351" s="546">
        <v>0.92655948055963511</v>
      </c>
      <c r="I351" s="546">
        <v>0.96325582703519319</v>
      </c>
      <c r="J351" s="384">
        <f>VLOOKUP($A351,'8.Non-elective admissions - CCG'!$D$5:$N$215,3,0)*$H351</f>
        <v>6018.93038571539</v>
      </c>
      <c r="K351" s="384">
        <f>VLOOKUP($A351,'8.Non-elective admissions - CCG'!$D$5:$N$215,4,0)*$H351</f>
        <v>5761.3468501198113</v>
      </c>
      <c r="L351" s="384">
        <f>VLOOKUP($A351,'8.Non-elective admissions - CCG'!$D$5:$N$215,5,0)*$H351</f>
        <v>5722.4313519363068</v>
      </c>
      <c r="M351" s="384">
        <f>VLOOKUP($A351,'8.Non-elective admissions - CCG'!$D$5:$N$215,6,0)*$H351</f>
        <v>6278.3670402720873</v>
      </c>
      <c r="N351" s="384">
        <f>VLOOKUP($A351,'8.Non-elective admissions - CCG'!$D$5:$N$215,7,0)*$H351</f>
        <v>5610.1308603973093</v>
      </c>
      <c r="O351" s="384">
        <f>VLOOKUP($A351,'8.Non-elective admissions - CCG'!$D$5:$N$215,8,0)*$H351</f>
        <v>5363.1228894009428</v>
      </c>
      <c r="P351" s="384">
        <f>VLOOKUP($A351,'8.Non-elective admissions - CCG'!$D$5:$N$215,9,0)*$H351</f>
        <v>5331.1059045180491</v>
      </c>
      <c r="Q351" s="384">
        <f>VLOOKUP($A351,'8.Non-elective admissions - CCG'!$D$5:$N$215,10,0)*$H351</f>
        <v>5906.2703890979365</v>
      </c>
      <c r="R351" s="384">
        <f>VLOOKUP($A351,'8.Non-elective admissions - CCG'!$D$5:$Q$215,11,0)*$H351</f>
        <v>5682.5015483852485</v>
      </c>
      <c r="S351" s="384">
        <f>VLOOKUP($A351,'8.Non-elective admissions - CCG'!$D$5:$Q$215,12,0)*$H351</f>
        <v>5432.3071746093565</v>
      </c>
      <c r="T351" s="384">
        <f>VLOOKUP($A351,'8.Non-elective admissions - CCG'!$D$5:$Q$215,13,0)*$H351</f>
        <v>5381.6973525179765</v>
      </c>
      <c r="U351" s="384">
        <f>VLOOKUP($A351,'8.Non-elective admissions - CCG'!$D$5:$Q$215,14,0)*$H351</f>
        <v>5920.4919444704201</v>
      </c>
    </row>
    <row r="352" spans="1:21">
      <c r="A352" s="395" t="s">
        <v>293</v>
      </c>
      <c r="B352" s="395" t="s">
        <v>292</v>
      </c>
      <c r="C352" s="395" t="s">
        <v>749</v>
      </c>
      <c r="D352" s="395" t="s">
        <v>363</v>
      </c>
      <c r="E352" s="537">
        <f>COUNTIF($D$5:D352,D352)</f>
        <v>2</v>
      </c>
      <c r="F352" s="537" t="str">
        <f t="shared" si="10"/>
        <v>Redbridge2</v>
      </c>
      <c r="G352" s="541" t="str">
        <f t="shared" si="11"/>
        <v>NHS Havering CCG</v>
      </c>
      <c r="H352" s="546">
        <v>9.4303161474839602E-3</v>
      </c>
      <c r="I352" s="546">
        <v>7.95080925552402E-3</v>
      </c>
      <c r="J352" s="384">
        <f>VLOOKUP($A352,'8.Non-elective admissions - CCG'!$D$5:$N$215,3,0)*$H352</f>
        <v>61.259333694055805</v>
      </c>
      <c r="K352" s="384">
        <f>VLOOKUP($A352,'8.Non-elective admissions - CCG'!$D$5:$N$215,4,0)*$H352</f>
        <v>58.637705805055262</v>
      </c>
      <c r="L352" s="384">
        <f>VLOOKUP($A352,'8.Non-elective admissions - CCG'!$D$5:$N$215,5,0)*$H352</f>
        <v>58.24163252686094</v>
      </c>
      <c r="M352" s="384">
        <f>VLOOKUP($A352,'8.Non-elective admissions - CCG'!$D$5:$N$215,6,0)*$H352</f>
        <v>63.899822215351314</v>
      </c>
      <c r="N352" s="384">
        <f>VLOOKUP($A352,'8.Non-elective admissions - CCG'!$D$5:$N$215,7,0)*$H352</f>
        <v>57.09866312128004</v>
      </c>
      <c r="O352" s="384">
        <f>VLOOKUP($A352,'8.Non-elective admissions - CCG'!$D$5:$N$215,8,0)*$H352</f>
        <v>54.584670974723657</v>
      </c>
      <c r="P352" s="384">
        <f>VLOOKUP($A352,'8.Non-elective admissions - CCG'!$D$5:$N$215,9,0)*$H352</f>
        <v>54.258809229342198</v>
      </c>
      <c r="Q352" s="384">
        <f>VLOOKUP($A352,'8.Non-elective admissions - CCG'!$D$5:$N$215,10,0)*$H352</f>
        <v>60.112705325809699</v>
      </c>
      <c r="R352" s="384">
        <f>VLOOKUP($A352,'8.Non-elective admissions - CCG'!$D$5:$Q$215,11,0)*$H352</f>
        <v>57.835235874412923</v>
      </c>
      <c r="S352" s="384">
        <f>VLOOKUP($A352,'8.Non-elective admissions - CCG'!$D$5:$Q$215,12,0)*$H352</f>
        <v>55.288813229637476</v>
      </c>
      <c r="T352" s="384">
        <f>VLOOKUP($A352,'8.Non-elective admissions - CCG'!$D$5:$Q$215,13,0)*$H352</f>
        <v>54.773717725783406</v>
      </c>
      <c r="U352" s="384">
        <f>VLOOKUP($A352,'8.Non-elective admissions - CCG'!$D$5:$Q$215,14,0)*$H352</f>
        <v>60.257449150772196</v>
      </c>
    </row>
    <row r="353" spans="1:21">
      <c r="A353" s="395" t="s">
        <v>293</v>
      </c>
      <c r="B353" s="395" t="s">
        <v>292</v>
      </c>
      <c r="C353" s="395" t="s">
        <v>780</v>
      </c>
      <c r="D353" s="395" t="s">
        <v>456</v>
      </c>
      <c r="E353" s="537">
        <f>COUNTIF($D$5:D353,D353)</f>
        <v>3</v>
      </c>
      <c r="F353" s="537" t="str">
        <f t="shared" si="10"/>
        <v>Thurrock3</v>
      </c>
      <c r="G353" s="541" t="str">
        <f t="shared" si="11"/>
        <v>NHS Havering CCG</v>
      </c>
      <c r="H353" s="546">
        <v>1.0473834737574398E-3</v>
      </c>
      <c r="I353" s="546">
        <v>1.6394136827522789E-3</v>
      </c>
      <c r="J353" s="384">
        <f>VLOOKUP($A353,'8.Non-elective admissions - CCG'!$D$5:$N$215,3,0)*$H353</f>
        <v>6.8038030455283289</v>
      </c>
      <c r="K353" s="384">
        <f>VLOOKUP($A353,'8.Non-elective admissions - CCG'!$D$5:$N$215,4,0)*$H353</f>
        <v>6.5126304398237602</v>
      </c>
      <c r="L353" s="384">
        <f>VLOOKUP($A353,'8.Non-elective admissions - CCG'!$D$5:$N$215,5,0)*$H353</f>
        <v>6.4686403339259479</v>
      </c>
      <c r="M353" s="384">
        <f>VLOOKUP($A353,'8.Non-elective admissions - CCG'!$D$5:$N$215,6,0)*$H353</f>
        <v>7.0970704181804116</v>
      </c>
      <c r="N353" s="384">
        <f>VLOOKUP($A353,'8.Non-elective admissions - CCG'!$D$5:$N$215,7,0)*$H353</f>
        <v>6.3416957810929881</v>
      </c>
      <c r="O353" s="384">
        <f>VLOOKUP($A353,'8.Non-elective admissions - CCG'!$D$5:$N$215,8,0)*$H353</f>
        <v>6.0624778008811928</v>
      </c>
      <c r="P353" s="384">
        <f>VLOOKUP($A353,'8.Non-elective admissions - CCG'!$D$5:$N$215,9,0)*$H353</f>
        <v>6.0262857791605464</v>
      </c>
      <c r="Q353" s="384">
        <f>VLOOKUP($A353,'8.Non-elective admissions - CCG'!$D$5:$N$215,10,0)*$H353</f>
        <v>6.6764521079075516</v>
      </c>
      <c r="R353" s="384">
        <f>VLOOKUP($A353,'8.Non-elective admissions - CCG'!$D$5:$Q$215,11,0)*$H353</f>
        <v>6.4235036565434021</v>
      </c>
      <c r="S353" s="384">
        <f>VLOOKUP($A353,'8.Non-elective admissions - CCG'!$D$5:$Q$215,12,0)*$H353</f>
        <v>6.1406837644392436</v>
      </c>
      <c r="T353" s="384">
        <f>VLOOKUP($A353,'8.Non-elective admissions - CCG'!$D$5:$Q$215,13,0)*$H353</f>
        <v>6.0834743867570911</v>
      </c>
      <c r="U353" s="384">
        <f>VLOOKUP($A353,'8.Non-elective admissions - CCG'!$D$5:$Q$215,14,0)*$H353</f>
        <v>6.6925281638767471</v>
      </c>
    </row>
    <row r="354" spans="1:21">
      <c r="A354" s="395" t="s">
        <v>296</v>
      </c>
      <c r="B354" s="395" t="s">
        <v>295</v>
      </c>
      <c r="C354" s="395" t="s">
        <v>694</v>
      </c>
      <c r="D354" s="395" t="s">
        <v>188</v>
      </c>
      <c r="E354" s="537">
        <f>COUNTIF($D$5:D354,D354)</f>
        <v>2</v>
      </c>
      <c r="F354" s="537" t="str">
        <f t="shared" si="10"/>
        <v>Gloucestershire2</v>
      </c>
      <c r="G354" s="541" t="str">
        <f t="shared" si="11"/>
        <v>NHS Herefordshire CCG</v>
      </c>
      <c r="H354" s="546">
        <v>4.7438014696917627E-3</v>
      </c>
      <c r="I354" s="546">
        <v>1.381253358333589E-3</v>
      </c>
      <c r="J354" s="384">
        <f>VLOOKUP($A354,'8.Non-elective admissions - CCG'!$D$5:$N$215,3,0)*$H354</f>
        <v>17.561553040798906</v>
      </c>
      <c r="K354" s="384">
        <f>VLOOKUP($A354,'8.Non-elective admissions - CCG'!$D$5:$N$215,4,0)*$H354</f>
        <v>17.571040643738289</v>
      </c>
      <c r="L354" s="384">
        <f>VLOOKUP($A354,'8.Non-elective admissions - CCG'!$D$5:$N$215,5,0)*$H354</f>
        <v>19.027387694933662</v>
      </c>
      <c r="M354" s="384">
        <f>VLOOKUP($A354,'8.Non-elective admissions - CCG'!$D$5:$N$215,6,0)*$H354</f>
        <v>20.640280194628858</v>
      </c>
      <c r="N354" s="384">
        <f>VLOOKUP($A354,'8.Non-elective admissions - CCG'!$D$5:$N$215,7,0)*$H354</f>
        <v>16.987553062966203</v>
      </c>
      <c r="O354" s="384">
        <f>VLOOKUP($A354,'8.Non-elective admissions - CCG'!$D$5:$N$215,8,0)*$H354</f>
        <v>15.654544849982816</v>
      </c>
      <c r="P354" s="384">
        <f>VLOOKUP($A354,'8.Non-elective admissions - CCG'!$D$5:$N$215,9,0)*$H354</f>
        <v>17.201024129102333</v>
      </c>
      <c r="Q354" s="384">
        <f>VLOOKUP($A354,'8.Non-elective admissions - CCG'!$D$5:$N$215,10,0)*$H354</f>
        <v>16.883189430632985</v>
      </c>
      <c r="R354" s="384">
        <f>VLOOKUP($A354,'8.Non-elective admissions - CCG'!$D$5:$Q$215,11,0)*$H354</f>
        <v>16.100462188133843</v>
      </c>
      <c r="S354" s="384">
        <f>VLOOKUP($A354,'8.Non-elective admissions - CCG'!$D$5:$Q$215,12,0)*$H354</f>
        <v>14.952462232468436</v>
      </c>
      <c r="T354" s="384">
        <f>VLOOKUP($A354,'8.Non-elective admissions - CCG'!$D$5:$Q$215,13,0)*$H354</f>
        <v>16.740875386542232</v>
      </c>
      <c r="U354" s="384">
        <f>VLOOKUP($A354,'8.Non-elective admissions - CCG'!$D$5:$Q$215,14,0)*$H354</f>
        <v>16.712412577724081</v>
      </c>
    </row>
    <row r="355" spans="1:21">
      <c r="A355" s="395" t="s">
        <v>296</v>
      </c>
      <c r="B355" s="395" t="s">
        <v>295</v>
      </c>
      <c r="C355" s="395" t="s">
        <v>704</v>
      </c>
      <c r="D355" s="395" t="s">
        <v>223</v>
      </c>
      <c r="E355" s="537">
        <f>COUNTIF($D$5:D355,D355)</f>
        <v>2</v>
      </c>
      <c r="F355" s="537" t="str">
        <f t="shared" si="10"/>
        <v>Herefordshire, County of2</v>
      </c>
      <c r="G355" s="541" t="str">
        <f t="shared" si="11"/>
        <v>NHS Herefordshire CCG</v>
      </c>
      <c r="H355" s="546">
        <v>0.980814204803653</v>
      </c>
      <c r="I355" s="546">
        <v>0.97323633084228289</v>
      </c>
      <c r="J355" s="384">
        <f>VLOOKUP($A355,'8.Non-elective admissions - CCG'!$D$5:$N$215,3,0)*$H355</f>
        <v>3630.9741861831235</v>
      </c>
      <c r="K355" s="384">
        <f>VLOOKUP($A355,'8.Non-elective admissions - CCG'!$D$5:$N$215,4,0)*$H355</f>
        <v>3632.9358145927308</v>
      </c>
      <c r="L355" s="384">
        <f>VLOOKUP($A355,'8.Non-elective admissions - CCG'!$D$5:$N$215,5,0)*$H355</f>
        <v>3934.0457754674521</v>
      </c>
      <c r="M355" s="384">
        <f>VLOOKUP($A355,'8.Non-elective admissions - CCG'!$D$5:$N$215,6,0)*$H355</f>
        <v>4267.5226051006939</v>
      </c>
      <c r="N355" s="384">
        <f>VLOOKUP($A355,'8.Non-elective admissions - CCG'!$D$5:$N$215,7,0)*$H355</f>
        <v>3512.2956674018815</v>
      </c>
      <c r="O355" s="384">
        <f>VLOOKUP($A355,'8.Non-elective admissions - CCG'!$D$5:$N$215,8,0)*$H355</f>
        <v>3236.686875852055</v>
      </c>
      <c r="P355" s="384">
        <f>VLOOKUP($A355,'8.Non-elective admissions - CCG'!$D$5:$N$215,9,0)*$H355</f>
        <v>3556.4323066180459</v>
      </c>
      <c r="Q355" s="384">
        <f>VLOOKUP($A355,'8.Non-elective admissions - CCG'!$D$5:$N$215,10,0)*$H355</f>
        <v>3490.7177548962009</v>
      </c>
      <c r="R355" s="384">
        <f>VLOOKUP($A355,'8.Non-elective admissions - CCG'!$D$5:$Q$215,11,0)*$H355</f>
        <v>3328.8834111035981</v>
      </c>
      <c r="S355" s="384">
        <f>VLOOKUP($A355,'8.Non-elective admissions - CCG'!$D$5:$Q$215,12,0)*$H355</f>
        <v>3091.5263735411145</v>
      </c>
      <c r="T355" s="384">
        <f>VLOOKUP($A355,'8.Non-elective admissions - CCG'!$D$5:$Q$215,13,0)*$H355</f>
        <v>3461.2933287520914</v>
      </c>
      <c r="U355" s="384">
        <f>VLOOKUP($A355,'8.Non-elective admissions - CCG'!$D$5:$Q$215,14,0)*$H355</f>
        <v>3455.4084435232694</v>
      </c>
    </row>
    <row r="356" spans="1:21">
      <c r="A356" s="395" t="s">
        <v>296</v>
      </c>
      <c r="B356" s="395" t="s">
        <v>295</v>
      </c>
      <c r="C356" s="395" t="s">
        <v>759</v>
      </c>
      <c r="D356" s="395" t="s">
        <v>393</v>
      </c>
      <c r="E356" s="537">
        <f>COUNTIF($D$5:D356,D356)</f>
        <v>1</v>
      </c>
      <c r="F356" s="537" t="str">
        <f t="shared" si="10"/>
        <v>Shropshire1</v>
      </c>
      <c r="G356" s="541" t="str">
        <f t="shared" si="11"/>
        <v>NHS Herefordshire CCG</v>
      </c>
      <c r="H356" s="546">
        <v>4.5387539762588242E-3</v>
      </c>
      <c r="I356" s="546">
        <v>2.7438840533097471E-3</v>
      </c>
      <c r="J356" s="384">
        <f>VLOOKUP($A356,'8.Non-elective admissions - CCG'!$D$5:$N$215,3,0)*$H356</f>
        <v>16.802467220110167</v>
      </c>
      <c r="K356" s="384">
        <f>VLOOKUP($A356,'8.Non-elective admissions - CCG'!$D$5:$N$215,4,0)*$H356</f>
        <v>16.811544728062685</v>
      </c>
      <c r="L356" s="384">
        <f>VLOOKUP($A356,'8.Non-elective admissions - CCG'!$D$5:$N$215,5,0)*$H356</f>
        <v>18.204942198774145</v>
      </c>
      <c r="M356" s="384">
        <f>VLOOKUP($A356,'8.Non-elective admissions - CCG'!$D$5:$N$215,6,0)*$H356</f>
        <v>19.748118550702145</v>
      </c>
      <c r="N356" s="384">
        <f>VLOOKUP($A356,'8.Non-elective admissions - CCG'!$D$5:$N$215,7,0)*$H356</f>
        <v>16.253277988982848</v>
      </c>
      <c r="O356" s="384">
        <f>VLOOKUP($A356,'8.Non-elective admissions - CCG'!$D$5:$N$215,8,0)*$H356</f>
        <v>14.97788812165412</v>
      </c>
      <c r="P356" s="384">
        <f>VLOOKUP($A356,'8.Non-elective admissions - CCG'!$D$5:$N$215,9,0)*$H356</f>
        <v>16.457521917914498</v>
      </c>
      <c r="Q356" s="384">
        <f>VLOOKUP($A356,'8.Non-elective admissions - CCG'!$D$5:$N$215,10,0)*$H356</f>
        <v>16.153425401505157</v>
      </c>
      <c r="R356" s="384">
        <f>VLOOKUP($A356,'8.Non-elective admissions - CCG'!$D$5:$Q$215,11,0)*$H356</f>
        <v>15.40453099542245</v>
      </c>
      <c r="S356" s="384">
        <f>VLOOKUP($A356,'8.Non-elective admissions - CCG'!$D$5:$Q$215,12,0)*$H356</f>
        <v>14.306152533167813</v>
      </c>
      <c r="T356" s="384">
        <f>VLOOKUP($A356,'8.Non-elective admissions - CCG'!$D$5:$Q$215,13,0)*$H356</f>
        <v>16.01726278221739</v>
      </c>
      <c r="U356" s="384">
        <f>VLOOKUP($A356,'8.Non-elective admissions - CCG'!$D$5:$Q$215,14,0)*$H356</f>
        <v>15.990030258359837</v>
      </c>
    </row>
    <row r="357" spans="1:21">
      <c r="A357" s="395" t="s">
        <v>296</v>
      </c>
      <c r="B357" s="395" t="s">
        <v>295</v>
      </c>
      <c r="C357" s="395" t="s">
        <v>799</v>
      </c>
      <c r="D357" s="395" t="s">
        <v>513</v>
      </c>
      <c r="E357" s="537">
        <f>COUNTIF($D$5:D357,D357)</f>
        <v>5</v>
      </c>
      <c r="F357" s="537" t="str">
        <f t="shared" si="10"/>
        <v>Worcestershire5</v>
      </c>
      <c r="G357" s="541" t="str">
        <f t="shared" si="11"/>
        <v>NHS Herefordshire CCG</v>
      </c>
      <c r="H357" s="546">
        <v>9.9032397503962394E-3</v>
      </c>
      <c r="I357" s="546">
        <v>3.0307244567761367E-3</v>
      </c>
      <c r="J357" s="384">
        <f>VLOOKUP($A357,'8.Non-elective admissions - CCG'!$D$5:$N$215,3,0)*$H357</f>
        <v>36.661793555966881</v>
      </c>
      <c r="K357" s="384">
        <f>VLOOKUP($A357,'8.Non-elective admissions - CCG'!$D$5:$N$215,4,0)*$H357</f>
        <v>36.681600035467667</v>
      </c>
      <c r="L357" s="384">
        <f>VLOOKUP($A357,'8.Non-elective admissions - CCG'!$D$5:$N$215,5,0)*$H357</f>
        <v>39.721894638839316</v>
      </c>
      <c r="M357" s="384">
        <f>VLOOKUP($A357,'8.Non-elective admissions - CCG'!$D$5:$N$215,6,0)*$H357</f>
        <v>43.088996153974037</v>
      </c>
      <c r="N357" s="384">
        <f>VLOOKUP($A357,'8.Non-elective admissions - CCG'!$D$5:$N$215,7,0)*$H357</f>
        <v>35.463501546168935</v>
      </c>
      <c r="O357" s="384">
        <f>VLOOKUP($A357,'8.Non-elective admissions - CCG'!$D$5:$N$215,8,0)*$H357</f>
        <v>32.68069117630759</v>
      </c>
      <c r="P357" s="384">
        <f>VLOOKUP($A357,'8.Non-elective admissions - CCG'!$D$5:$N$215,9,0)*$H357</f>
        <v>35.909147334936762</v>
      </c>
      <c r="Q357" s="384">
        <f>VLOOKUP($A357,'8.Non-elective admissions - CCG'!$D$5:$N$215,10,0)*$H357</f>
        <v>35.245630271660218</v>
      </c>
      <c r="R357" s="384">
        <f>VLOOKUP($A357,'8.Non-elective admissions - CCG'!$D$5:$Q$215,11,0)*$H357</f>
        <v>33.611595712844839</v>
      </c>
      <c r="S357" s="384">
        <f>VLOOKUP($A357,'8.Non-elective admissions - CCG'!$D$5:$Q$215,12,0)*$H357</f>
        <v>31.215011693248947</v>
      </c>
      <c r="T357" s="384">
        <f>VLOOKUP($A357,'8.Non-elective admissions - CCG'!$D$5:$Q$215,13,0)*$H357</f>
        <v>34.948533079148326</v>
      </c>
      <c r="U357" s="384">
        <f>VLOOKUP($A357,'8.Non-elective admissions - CCG'!$D$5:$Q$215,14,0)*$H357</f>
        <v>34.889113640645952</v>
      </c>
    </row>
    <row r="358" spans="1:21">
      <c r="A358" s="395" t="s">
        <v>299</v>
      </c>
      <c r="B358" s="395" t="s">
        <v>298</v>
      </c>
      <c r="C358" s="395" t="s">
        <v>667</v>
      </c>
      <c r="D358" s="395" t="s">
        <v>86</v>
      </c>
      <c r="E358" s="537">
        <f>COUNTIF($D$5:D358,D358)</f>
        <v>4</v>
      </c>
      <c r="F358" s="537" t="str">
        <f t="shared" si="10"/>
        <v>Buckinghamshire4</v>
      </c>
      <c r="G358" s="541" t="str">
        <f t="shared" si="11"/>
        <v>NHS Herts Valleys CCG</v>
      </c>
      <c r="H358" s="546">
        <v>1.2053984701086515E-2</v>
      </c>
      <c r="I358" s="546">
        <v>1.3944024754307489E-2</v>
      </c>
      <c r="J358" s="384">
        <f>VLOOKUP($A358,'8.Non-elective admissions - CCG'!$D$5:$N$215,3,0)*$H358</f>
        <v>150.86767251879883</v>
      </c>
      <c r="K358" s="384">
        <f>VLOOKUP($A358,'8.Non-elective admissions - CCG'!$D$5:$N$215,4,0)*$H358</f>
        <v>153.19409156610851</v>
      </c>
      <c r="L358" s="384">
        <f>VLOOKUP($A358,'8.Non-elective admissions - CCG'!$D$5:$N$215,5,0)*$H358</f>
        <v>165.62174979292871</v>
      </c>
      <c r="M358" s="384">
        <f>VLOOKUP($A358,'8.Non-elective admissions - CCG'!$D$5:$N$215,6,0)*$H358</f>
        <v>168.76783979991231</v>
      </c>
      <c r="N358" s="384">
        <f>VLOOKUP($A358,'8.Non-elective admissions - CCG'!$D$5:$N$215,7,0)*$H358</f>
        <v>151.97663911129879</v>
      </c>
      <c r="O358" s="384">
        <f>VLOOKUP($A358,'8.Non-elective admissions - CCG'!$D$5:$N$215,8,0)*$H358</f>
        <v>153.90527666347262</v>
      </c>
      <c r="P358" s="384">
        <f>VLOOKUP($A358,'8.Non-elective admissions - CCG'!$D$5:$N$215,9,0)*$H358</f>
        <v>158.34114303347246</v>
      </c>
      <c r="Q358" s="384">
        <f>VLOOKUP($A358,'8.Non-elective admissions - CCG'!$D$5:$N$215,10,0)*$H358</f>
        <v>155.31559287349975</v>
      </c>
      <c r="R358" s="384">
        <f>VLOOKUP($A358,'8.Non-elective admissions - CCG'!$D$5:$Q$215,11,0)*$H358</f>
        <v>129.77319929189741</v>
      </c>
      <c r="S358" s="384">
        <f>VLOOKUP($A358,'8.Non-elective admissions - CCG'!$D$5:$Q$215,12,0)*$H358</f>
        <v>131.4004872265441</v>
      </c>
      <c r="T358" s="384">
        <f>VLOOKUP($A358,'8.Non-elective admissions - CCG'!$D$5:$Q$215,13,0)*$H358</f>
        <v>144.44289867311971</v>
      </c>
      <c r="U358" s="384">
        <f>VLOOKUP($A358,'8.Non-elective admissions - CCG'!$D$5:$Q$215,14,0)*$H358</f>
        <v>145.05765189287513</v>
      </c>
    </row>
    <row r="359" spans="1:21">
      <c r="A359" s="395" t="s">
        <v>299</v>
      </c>
      <c r="B359" s="395" t="s">
        <v>298</v>
      </c>
      <c r="C359" s="395" t="s">
        <v>672</v>
      </c>
      <c r="D359" s="395" t="s">
        <v>106</v>
      </c>
      <c r="E359" s="537">
        <f>COUNTIF($D$5:D359,D359)</f>
        <v>4</v>
      </c>
      <c r="F359" s="537" t="str">
        <f t="shared" si="10"/>
        <v>Central Bedfordshire4</v>
      </c>
      <c r="G359" s="541" t="str">
        <f t="shared" si="11"/>
        <v>NHS Herts Valleys CCG</v>
      </c>
      <c r="H359" s="546">
        <v>3.618469134198431E-3</v>
      </c>
      <c r="I359" s="546">
        <v>8.2185211826112624E-3</v>
      </c>
      <c r="J359" s="384">
        <f>VLOOKUP($A359,'8.Non-elective admissions - CCG'!$D$5:$N$215,3,0)*$H359</f>
        <v>45.288759683627561</v>
      </c>
      <c r="K359" s="384">
        <f>VLOOKUP($A359,'8.Non-elective admissions - CCG'!$D$5:$N$215,4,0)*$H359</f>
        <v>45.987124226527861</v>
      </c>
      <c r="L359" s="384">
        <f>VLOOKUP($A359,'8.Non-elective admissions - CCG'!$D$5:$N$215,5,0)*$H359</f>
        <v>49.717765903886445</v>
      </c>
      <c r="M359" s="384">
        <f>VLOOKUP($A359,'8.Non-elective admissions - CCG'!$D$5:$N$215,6,0)*$H359</f>
        <v>50.662186347912233</v>
      </c>
      <c r="N359" s="384">
        <f>VLOOKUP($A359,'8.Non-elective admissions - CCG'!$D$5:$N$215,7,0)*$H359</f>
        <v>45.621658843973819</v>
      </c>
      <c r="O359" s="384">
        <f>VLOOKUP($A359,'8.Non-elective admissions - CCG'!$D$5:$N$215,8,0)*$H359</f>
        <v>46.200613905445564</v>
      </c>
      <c r="P359" s="384">
        <f>VLOOKUP($A359,'8.Non-elective admissions - CCG'!$D$5:$N$215,9,0)*$H359</f>
        <v>47.532210546830591</v>
      </c>
      <c r="Q359" s="384">
        <f>VLOOKUP($A359,'8.Non-elective admissions - CCG'!$D$5:$N$215,10,0)*$H359</f>
        <v>46.623974794146783</v>
      </c>
      <c r="R359" s="384">
        <f>VLOOKUP($A359,'8.Non-elective admissions - CCG'!$D$5:$Q$215,11,0)*$H359</f>
        <v>38.95643869878031</v>
      </c>
      <c r="S359" s="384">
        <f>VLOOKUP($A359,'8.Non-elective admissions - CCG'!$D$5:$Q$215,12,0)*$H359</f>
        <v>39.444932031897096</v>
      </c>
      <c r="T359" s="384">
        <f>VLOOKUP($A359,'8.Non-elective admissions - CCG'!$D$5:$Q$215,13,0)*$H359</f>
        <v>43.360115635099802</v>
      </c>
      <c r="U359" s="384">
        <f>VLOOKUP($A359,'8.Non-elective admissions - CCG'!$D$5:$Q$215,14,0)*$H359</f>
        <v>43.544657560943918</v>
      </c>
    </row>
    <row r="360" spans="1:21">
      <c r="A360" s="395" t="s">
        <v>299</v>
      </c>
      <c r="B360" s="395" t="s">
        <v>298</v>
      </c>
      <c r="C360" s="395" t="s">
        <v>691</v>
      </c>
      <c r="D360" s="395" t="s">
        <v>176</v>
      </c>
      <c r="E360" s="537">
        <f>COUNTIF($D$5:D360,D360)</f>
        <v>6</v>
      </c>
      <c r="F360" s="537" t="str">
        <f t="shared" si="10"/>
        <v>Enfield6</v>
      </c>
      <c r="G360" s="541" t="str">
        <f t="shared" si="11"/>
        <v>NHS Herts Valleys CCG</v>
      </c>
      <c r="H360" s="546">
        <v>1.1855845906484986E-3</v>
      </c>
      <c r="I360" s="546">
        <v>2.2330919758581339E-3</v>
      </c>
      <c r="J360" s="384">
        <f>VLOOKUP($A360,'8.Non-elective admissions - CCG'!$D$5:$N$215,3,0)*$H360</f>
        <v>14.838776736556609</v>
      </c>
      <c r="K360" s="384">
        <f>VLOOKUP($A360,'8.Non-elective admissions - CCG'!$D$5:$N$215,4,0)*$H360</f>
        <v>15.067594562551768</v>
      </c>
      <c r="L360" s="384">
        <f>VLOOKUP($A360,'8.Non-elective admissions - CCG'!$D$5:$N$215,5,0)*$H360</f>
        <v>16.28993227551037</v>
      </c>
      <c r="M360" s="384">
        <f>VLOOKUP($A360,'8.Non-elective admissions - CCG'!$D$5:$N$215,6,0)*$H360</f>
        <v>16.599369853669629</v>
      </c>
      <c r="N360" s="384">
        <f>VLOOKUP($A360,'8.Non-elective admissions - CCG'!$D$5:$N$215,7,0)*$H360</f>
        <v>14.947850518896271</v>
      </c>
      <c r="O360" s="384">
        <f>VLOOKUP($A360,'8.Non-elective admissions - CCG'!$D$5:$N$215,8,0)*$H360</f>
        <v>15.137544053400029</v>
      </c>
      <c r="P360" s="384">
        <f>VLOOKUP($A360,'8.Non-elective admissions - CCG'!$D$5:$N$215,9,0)*$H360</f>
        <v>15.573839182758677</v>
      </c>
      <c r="Q360" s="384">
        <f>VLOOKUP($A360,'8.Non-elective admissions - CCG'!$D$5:$N$215,10,0)*$H360</f>
        <v>15.276257450505904</v>
      </c>
      <c r="R360" s="384">
        <f>VLOOKUP($A360,'8.Non-elective admissions - CCG'!$D$5:$Q$215,11,0)*$H360</f>
        <v>12.764003702921736</v>
      </c>
      <c r="S360" s="384">
        <f>VLOOKUP($A360,'8.Non-elective admissions - CCG'!$D$5:$Q$215,12,0)*$H360</f>
        <v>12.924057622659284</v>
      </c>
      <c r="T360" s="384">
        <f>VLOOKUP($A360,'8.Non-elective admissions - CCG'!$D$5:$Q$215,13,0)*$H360</f>
        <v>14.206860149740958</v>
      </c>
      <c r="U360" s="384">
        <f>VLOOKUP($A360,'8.Non-elective admissions - CCG'!$D$5:$Q$215,14,0)*$H360</f>
        <v>14.267324963864032</v>
      </c>
    </row>
    <row r="361" spans="1:21">
      <c r="A361" s="395" t="s">
        <v>299</v>
      </c>
      <c r="B361" s="395" t="s">
        <v>298</v>
      </c>
      <c r="C361" s="395" t="s">
        <v>701</v>
      </c>
      <c r="D361" s="395" t="s">
        <v>212</v>
      </c>
      <c r="E361" s="537">
        <f>COUNTIF($D$5:D361,D361)</f>
        <v>5</v>
      </c>
      <c r="F361" s="537" t="str">
        <f t="shared" si="10"/>
        <v>Harrow5</v>
      </c>
      <c r="G361" s="541" t="str">
        <f t="shared" si="11"/>
        <v>NHS Herts Valleys CCG</v>
      </c>
      <c r="H361" s="546">
        <v>1.8823185487145341E-3</v>
      </c>
      <c r="I361" s="546">
        <v>4.3180692008777709E-3</v>
      </c>
      <c r="J361" s="384">
        <f>VLOOKUP($A361,'8.Non-elective admissions - CCG'!$D$5:$N$215,3,0)*$H361</f>
        <v>23.559098955711107</v>
      </c>
      <c r="K361" s="384">
        <f>VLOOKUP($A361,'8.Non-elective admissions - CCG'!$D$5:$N$215,4,0)*$H361</f>
        <v>23.922386435613014</v>
      </c>
      <c r="L361" s="384">
        <f>VLOOKUP($A361,'8.Non-elective admissions - CCG'!$D$5:$N$215,5,0)*$H361</f>
        <v>25.8630568593377</v>
      </c>
      <c r="M361" s="384">
        <f>VLOOKUP($A361,'8.Non-elective admissions - CCG'!$D$5:$N$215,6,0)*$H361</f>
        <v>26.354342000552194</v>
      </c>
      <c r="N361" s="384">
        <f>VLOOKUP($A361,'8.Non-elective admissions - CCG'!$D$5:$N$215,7,0)*$H361</f>
        <v>23.732272262192847</v>
      </c>
      <c r="O361" s="384">
        <f>VLOOKUP($A361,'8.Non-elective admissions - CCG'!$D$5:$N$215,8,0)*$H361</f>
        <v>24.033443229987171</v>
      </c>
      <c r="P361" s="384">
        <f>VLOOKUP($A361,'8.Non-elective admissions - CCG'!$D$5:$N$215,9,0)*$H361</f>
        <v>24.726136455914119</v>
      </c>
      <c r="Q361" s="384">
        <f>VLOOKUP($A361,'8.Non-elective admissions - CCG'!$D$5:$N$215,10,0)*$H361</f>
        <v>24.253674500186772</v>
      </c>
      <c r="R361" s="384">
        <f>VLOOKUP($A361,'8.Non-elective admissions - CCG'!$D$5:$Q$215,11,0)*$H361</f>
        <v>20.265041495460675</v>
      </c>
      <c r="S361" s="384">
        <f>VLOOKUP($A361,'8.Non-elective admissions - CCG'!$D$5:$Q$215,12,0)*$H361</f>
        <v>20.519154499537137</v>
      </c>
      <c r="T361" s="384">
        <f>VLOOKUP($A361,'8.Non-elective admissions - CCG'!$D$5:$Q$215,13,0)*$H361</f>
        <v>22.555823169246263</v>
      </c>
      <c r="U361" s="384">
        <f>VLOOKUP($A361,'8.Non-elective admissions - CCG'!$D$5:$Q$215,14,0)*$H361</f>
        <v>22.651821415230703</v>
      </c>
    </row>
    <row r="362" spans="1:21">
      <c r="A362" s="395" t="s">
        <v>299</v>
      </c>
      <c r="B362" s="395" t="s">
        <v>298</v>
      </c>
      <c r="C362" s="395" t="s">
        <v>705</v>
      </c>
      <c r="D362" s="395" t="s">
        <v>227</v>
      </c>
      <c r="E362" s="537">
        <f>COUNTIF($D$5:D362,D362)</f>
        <v>9</v>
      </c>
      <c r="F362" s="537" t="str">
        <f t="shared" si="10"/>
        <v>Hertfordshire9</v>
      </c>
      <c r="G362" s="541" t="str">
        <f t="shared" si="11"/>
        <v>NHS Herts Valleys CCG</v>
      </c>
      <c r="H362" s="546">
        <v>0.98125964302535207</v>
      </c>
      <c r="I362" s="546">
        <v>0.50706945242900969</v>
      </c>
      <c r="J362" s="384">
        <f>VLOOKUP($A362,'8.Non-elective admissions - CCG'!$D$5:$N$215,3,0)*$H362</f>
        <v>12281.445692105306</v>
      </c>
      <c r="K362" s="384">
        <f>VLOOKUP($A362,'8.Non-elective admissions - CCG'!$D$5:$N$215,4,0)*$H362</f>
        <v>12470.828803209199</v>
      </c>
      <c r="L362" s="384">
        <f>VLOOKUP($A362,'8.Non-elective admissions - CCG'!$D$5:$N$215,5,0)*$H362</f>
        <v>13482.507495168338</v>
      </c>
      <c r="M362" s="384">
        <f>VLOOKUP($A362,'8.Non-elective admissions - CCG'!$D$5:$N$215,6,0)*$H362</f>
        <v>13738.616261997955</v>
      </c>
      <c r="N362" s="384">
        <f>VLOOKUP($A362,'8.Non-elective admissions - CCG'!$D$5:$N$215,7,0)*$H362</f>
        <v>12371.721579263638</v>
      </c>
      <c r="O362" s="384">
        <f>VLOOKUP($A362,'8.Non-elective admissions - CCG'!$D$5:$N$215,8,0)*$H362</f>
        <v>12528.723122147696</v>
      </c>
      <c r="P362" s="384">
        <f>VLOOKUP($A362,'8.Non-elective admissions - CCG'!$D$5:$N$215,9,0)*$H362</f>
        <v>12889.826670781025</v>
      </c>
      <c r="Q362" s="384">
        <f>VLOOKUP($A362,'8.Non-elective admissions - CCG'!$D$5:$N$215,10,0)*$H362</f>
        <v>12643.530500381661</v>
      </c>
      <c r="R362" s="384">
        <f>VLOOKUP($A362,'8.Non-elective admissions - CCG'!$D$5:$Q$215,11,0)*$H362</f>
        <v>10564.24131681094</v>
      </c>
      <c r="S362" s="384">
        <f>VLOOKUP($A362,'8.Non-elective admissions - CCG'!$D$5:$Q$215,12,0)*$H362</f>
        <v>10696.711368619362</v>
      </c>
      <c r="T362" s="384">
        <f>VLOOKUP($A362,'8.Non-elective admissions - CCG'!$D$5:$Q$215,13,0)*$H362</f>
        <v>11758.434302372794</v>
      </c>
      <c r="U362" s="384">
        <f>VLOOKUP($A362,'8.Non-elective admissions - CCG'!$D$5:$Q$215,14,0)*$H362</f>
        <v>11808.478544167087</v>
      </c>
    </row>
    <row r="363" spans="1:21">
      <c r="A363" s="395" t="s">
        <v>302</v>
      </c>
      <c r="B363" s="395" t="s">
        <v>1228</v>
      </c>
      <c r="C363" s="395" t="s">
        <v>668</v>
      </c>
      <c r="D363" s="395" t="s">
        <v>90</v>
      </c>
      <c r="E363" s="537">
        <f>COUNTIF($D$5:D363,D363)</f>
        <v>4</v>
      </c>
      <c r="F363" s="537" t="str">
        <f t="shared" si="10"/>
        <v>Bury4</v>
      </c>
      <c r="G363" s="541" t="str">
        <f t="shared" si="11"/>
        <v>NHS Heywood, Middleton and Rochdale CCG</v>
      </c>
      <c r="H363" s="546">
        <v>3.9215162602711674E-3</v>
      </c>
      <c r="I363" s="546">
        <v>4.4552552795533622E-3</v>
      </c>
      <c r="J363" s="384">
        <f>VLOOKUP($A363,'8.Non-elective admissions - CCG'!$D$5:$N$215,3,0)*$H363</f>
        <v>25.466326594200961</v>
      </c>
      <c r="K363" s="384">
        <f>VLOOKUP($A363,'8.Non-elective admissions - CCG'!$D$5:$N$215,4,0)*$H363</f>
        <v>24.791825797434321</v>
      </c>
      <c r="L363" s="384">
        <f>VLOOKUP($A363,'8.Non-elective admissions - CCG'!$D$5:$N$215,5,0)*$H363</f>
        <v>25.964359159255398</v>
      </c>
      <c r="M363" s="384">
        <f>VLOOKUP($A363,'8.Non-elective admissions - CCG'!$D$5:$N$215,6,0)*$H363</f>
        <v>26.685918151145295</v>
      </c>
      <c r="N363" s="384">
        <f>VLOOKUP($A363,'8.Non-elective admissions - CCG'!$D$5:$N$215,7,0)*$H363</f>
        <v>24.553436823972437</v>
      </c>
      <c r="O363" s="384">
        <f>VLOOKUP($A363,'8.Non-elective admissions - CCG'!$D$5:$N$215,8,0)*$H363</f>
        <v>24.05265135450329</v>
      </c>
      <c r="P363" s="384">
        <f>VLOOKUP($A363,'8.Non-elective admissions - CCG'!$D$5:$N$215,9,0)*$H363</f>
        <v>25.170075648318775</v>
      </c>
      <c r="Q363" s="384">
        <f>VLOOKUP($A363,'8.Non-elective admissions - CCG'!$D$5:$N$215,10,0)*$H363</f>
        <v>22.990254642743224</v>
      </c>
      <c r="R363" s="384">
        <f>VLOOKUP($A363,'8.Non-elective admissions - CCG'!$D$5:$Q$215,11,0)*$H363</f>
        <v>23.307712282669655</v>
      </c>
      <c r="S363" s="384">
        <f>VLOOKUP($A363,'8.Non-elective admissions - CCG'!$D$5:$Q$215,12,0)*$H363</f>
        <v>23.052750981491865</v>
      </c>
      <c r="T363" s="384">
        <f>VLOOKUP($A363,'8.Non-elective admissions - CCG'!$D$5:$Q$215,13,0)*$H363</f>
        <v>23.955738923163207</v>
      </c>
      <c r="U363" s="384">
        <f>VLOOKUP($A363,'8.Non-elective admissions - CCG'!$D$5:$Q$215,14,0)*$H363</f>
        <v>21.901989434744948</v>
      </c>
    </row>
    <row r="364" spans="1:21">
      <c r="A364" s="395" t="s">
        <v>302</v>
      </c>
      <c r="B364" s="395" t="s">
        <v>1228</v>
      </c>
      <c r="C364" s="395" t="s">
        <v>669</v>
      </c>
      <c r="D364" s="395" t="s">
        <v>94</v>
      </c>
      <c r="E364" s="537">
        <f>COUNTIF($D$5:D364,D364)</f>
        <v>4</v>
      </c>
      <c r="F364" s="537" t="str">
        <f t="shared" si="10"/>
        <v>Calderdale4</v>
      </c>
      <c r="G364" s="541" t="str">
        <f t="shared" si="11"/>
        <v>NHS Heywood, Middleton and Rochdale CCG</v>
      </c>
      <c r="H364" s="546">
        <v>1.2329852486891186E-3</v>
      </c>
      <c r="I364" s="546">
        <v>1.2830727043652264E-3</v>
      </c>
      <c r="J364" s="384">
        <f>VLOOKUP($A364,'8.Non-elective admissions - CCG'!$D$5:$N$215,3,0)*$H364</f>
        <v>8.0070062049871353</v>
      </c>
      <c r="K364" s="384">
        <f>VLOOKUP($A364,'8.Non-elective admissions - CCG'!$D$5:$N$215,4,0)*$H364</f>
        <v>7.794932742212608</v>
      </c>
      <c r="L364" s="384">
        <f>VLOOKUP($A364,'8.Non-elective admissions - CCG'!$D$5:$N$215,5,0)*$H364</f>
        <v>8.1635953315706544</v>
      </c>
      <c r="M364" s="384">
        <f>VLOOKUP($A364,'8.Non-elective admissions - CCG'!$D$5:$N$215,6,0)*$H364</f>
        <v>8.3904646173294513</v>
      </c>
      <c r="N364" s="384">
        <f>VLOOKUP($A364,'8.Non-elective admissions - CCG'!$D$5:$N$215,7,0)*$H364</f>
        <v>7.7199795689447965</v>
      </c>
      <c r="O364" s="384">
        <f>VLOOKUP($A364,'8.Non-elective admissions - CCG'!$D$5:$N$215,8,0)*$H364</f>
        <v>7.562524886716699</v>
      </c>
      <c r="P364" s="384">
        <f>VLOOKUP($A364,'8.Non-elective admissions - CCG'!$D$5:$N$215,9,0)*$H364</f>
        <v>7.9138603343749168</v>
      </c>
      <c r="Q364" s="384">
        <f>VLOOKUP($A364,'8.Non-elective admissions - CCG'!$D$5:$N$215,10,0)*$H364</f>
        <v>7.2284909603176768</v>
      </c>
      <c r="R364" s="384">
        <f>VLOOKUP($A364,'8.Non-elective admissions - CCG'!$D$5:$Q$215,11,0)*$H364</f>
        <v>7.328304542905216</v>
      </c>
      <c r="S364" s="384">
        <f>VLOOKUP($A364,'8.Non-elective admissions - CCG'!$D$5:$Q$215,12,0)*$H364</f>
        <v>7.2481407739764441</v>
      </c>
      <c r="T364" s="384">
        <f>VLOOKUP($A364,'8.Non-elective admissions - CCG'!$D$5:$Q$215,13,0)*$H364</f>
        <v>7.5320541222658441</v>
      </c>
      <c r="U364" s="384">
        <f>VLOOKUP($A364,'8.Non-elective admissions - CCG'!$D$5:$Q$215,14,0)*$H364</f>
        <v>6.8863235793692974</v>
      </c>
    </row>
    <row r="365" spans="1:21">
      <c r="A365" s="395" t="s">
        <v>302</v>
      </c>
      <c r="B365" s="395" t="s">
        <v>1228</v>
      </c>
      <c r="C365" s="395" t="s">
        <v>718</v>
      </c>
      <c r="D365" s="395" t="s">
        <v>270</v>
      </c>
      <c r="E365" s="537">
        <f>COUNTIF($D$5:D365,D365)</f>
        <v>11</v>
      </c>
      <c r="F365" s="537" t="str">
        <f t="shared" si="10"/>
        <v>Lancashire11</v>
      </c>
      <c r="G365" s="541" t="str">
        <f t="shared" si="11"/>
        <v>NHS Heywood, Middleton and Rochdale CCG</v>
      </c>
      <c r="H365" s="546">
        <v>9.4988827462186964E-3</v>
      </c>
      <c r="I365" s="546">
        <v>1.7401018456984667E-3</v>
      </c>
      <c r="J365" s="384">
        <f>VLOOKUP($A365,'8.Non-elective admissions - CCG'!$D$5:$N$215,3,0)*$H365</f>
        <v>61.685744553944211</v>
      </c>
      <c r="K365" s="384">
        <f>VLOOKUP($A365,'8.Non-elective admissions - CCG'!$D$5:$N$215,4,0)*$H365</f>
        <v>60.0519367215946</v>
      </c>
      <c r="L365" s="384">
        <f>VLOOKUP($A365,'8.Non-elective admissions - CCG'!$D$5:$N$215,5,0)*$H365</f>
        <v>62.892102662713988</v>
      </c>
      <c r="M365" s="384">
        <f>VLOOKUP($A365,'8.Non-elective admissions - CCG'!$D$5:$N$215,6,0)*$H365</f>
        <v>64.63989708801823</v>
      </c>
      <c r="N365" s="384">
        <f>VLOOKUP($A365,'8.Non-elective admissions - CCG'!$D$5:$N$215,7,0)*$H365</f>
        <v>59.474499639451963</v>
      </c>
      <c r="O365" s="384">
        <f>VLOOKUP($A365,'8.Non-elective admissions - CCG'!$D$5:$N$215,8,0)*$H365</f>
        <v>58.261473314994348</v>
      </c>
      <c r="P365" s="384">
        <f>VLOOKUP($A365,'8.Non-elective admissions - CCG'!$D$5:$N$215,9,0)*$H365</f>
        <v>60.968151456881124</v>
      </c>
      <c r="Q365" s="384">
        <f>VLOOKUP($A365,'8.Non-elective admissions - CCG'!$D$5:$N$215,10,0)*$H365</f>
        <v>55.688085593205493</v>
      </c>
      <c r="R365" s="384">
        <f>VLOOKUP($A365,'8.Non-elective admissions - CCG'!$D$5:$Q$215,11,0)*$H365</f>
        <v>56.457046550757148</v>
      </c>
      <c r="S365" s="384">
        <f>VLOOKUP($A365,'8.Non-elective admissions - CCG'!$D$5:$Q$215,12,0)*$H365</f>
        <v>55.839467190128993</v>
      </c>
      <c r="T365" s="384">
        <f>VLOOKUP($A365,'8.Non-elective admissions - CCG'!$D$5:$Q$215,13,0)*$H365</f>
        <v>58.026727425687042</v>
      </c>
      <c r="U365" s="384">
        <f>VLOOKUP($A365,'8.Non-elective admissions - CCG'!$D$5:$Q$215,14,0)*$H365</f>
        <v>53.052037972469606</v>
      </c>
    </row>
    <row r="366" spans="1:21">
      <c r="A366" s="395" t="s">
        <v>302</v>
      </c>
      <c r="B366" s="395" t="s">
        <v>1228</v>
      </c>
      <c r="C366" s="395" t="s">
        <v>726</v>
      </c>
      <c r="D366" s="395" t="s">
        <v>294</v>
      </c>
      <c r="E366" s="537">
        <f>COUNTIF($D$5:D366,D366)</f>
        <v>3</v>
      </c>
      <c r="F366" s="537" t="str">
        <f t="shared" si="10"/>
        <v>Manchester3</v>
      </c>
      <c r="G366" s="541" t="str">
        <f t="shared" si="11"/>
        <v>NHS Heywood, Middleton and Rochdale CCG</v>
      </c>
      <c r="H366" s="546">
        <v>5.0654773032787611E-3</v>
      </c>
      <c r="I366" s="546">
        <v>2.0565162470204909E-3</v>
      </c>
      <c r="J366" s="384">
        <f>VLOOKUP($A366,'8.Non-elective admissions - CCG'!$D$5:$N$215,3,0)*$H366</f>
        <v>32.895209607492276</v>
      </c>
      <c r="K366" s="384">
        <f>VLOOKUP($A366,'8.Non-elective admissions - CCG'!$D$5:$N$215,4,0)*$H366</f>
        <v>32.023947511328331</v>
      </c>
      <c r="L366" s="384">
        <f>VLOOKUP($A366,'8.Non-elective admissions - CCG'!$D$5:$N$215,5,0)*$H366</f>
        <v>33.538525225008677</v>
      </c>
      <c r="M366" s="384">
        <f>VLOOKUP($A366,'8.Non-elective admissions - CCG'!$D$5:$N$215,6,0)*$H366</f>
        <v>34.470573048811971</v>
      </c>
      <c r="N366" s="384">
        <f>VLOOKUP($A366,'8.Non-elective admissions - CCG'!$D$5:$N$215,7,0)*$H366</f>
        <v>31.716017146062011</v>
      </c>
      <c r="O366" s="384">
        <f>VLOOKUP($A366,'8.Non-elective admissions - CCG'!$D$5:$N$215,8,0)*$H366</f>
        <v>31.06914556347871</v>
      </c>
      <c r="P366" s="384">
        <f>VLOOKUP($A366,'8.Non-elective admissions - CCG'!$D$5:$N$215,9,0)*$H366</f>
        <v>32.512538124616079</v>
      </c>
      <c r="Q366" s="384">
        <f>VLOOKUP($A366,'8.Non-elective admissions - CCG'!$D$5:$N$215,10,0)*$H366</f>
        <v>29.696832898344823</v>
      </c>
      <c r="R366" s="384">
        <f>VLOOKUP($A366,'8.Non-elective admissions - CCG'!$D$5:$Q$215,11,0)*$H366</f>
        <v>30.106897363993269</v>
      </c>
      <c r="S366" s="384">
        <f>VLOOKUP($A366,'8.Non-elective admissions - CCG'!$D$5:$Q$215,12,0)*$H366</f>
        <v>29.777560291643294</v>
      </c>
      <c r="T366" s="384">
        <f>VLOOKUP($A366,'8.Non-elective admissions - CCG'!$D$5:$Q$215,13,0)*$H366</f>
        <v>30.94396242288278</v>
      </c>
      <c r="U366" s="384">
        <f>VLOOKUP($A366,'8.Non-elective admissions - CCG'!$D$5:$Q$215,14,0)*$H366</f>
        <v>28.291105535459423</v>
      </c>
    </row>
    <row r="367" spans="1:21">
      <c r="A367" s="395" t="s">
        <v>302</v>
      </c>
      <c r="B367" s="395" t="s">
        <v>1228</v>
      </c>
      <c r="C367" s="395" t="s">
        <v>743</v>
      </c>
      <c r="D367" s="395" t="s">
        <v>345</v>
      </c>
      <c r="E367" s="537">
        <f>COUNTIF($D$5:D367,D367)</f>
        <v>1</v>
      </c>
      <c r="F367" s="537" t="str">
        <f t="shared" si="10"/>
        <v>Oldham1</v>
      </c>
      <c r="G367" s="541" t="str">
        <f t="shared" si="11"/>
        <v>NHS Heywood, Middleton and Rochdale CCG</v>
      </c>
      <c r="H367" s="546">
        <v>1.4074726918249071E-2</v>
      </c>
      <c r="I367" s="546">
        <v>1.3196554372141164E-2</v>
      </c>
      <c r="J367" s="384">
        <f>VLOOKUP($A367,'8.Non-elective admissions - CCG'!$D$5:$N$215,3,0)*$H367</f>
        <v>91.401276607109466</v>
      </c>
      <c r="K367" s="384">
        <f>VLOOKUP($A367,'8.Non-elective admissions - CCG'!$D$5:$N$215,4,0)*$H367</f>
        <v>88.980423577170626</v>
      </c>
      <c r="L367" s="384">
        <f>VLOOKUP($A367,'8.Non-elective admissions - CCG'!$D$5:$N$215,5,0)*$H367</f>
        <v>93.188766925727109</v>
      </c>
      <c r="M367" s="384">
        <f>VLOOKUP($A367,'8.Non-elective admissions - CCG'!$D$5:$N$215,6,0)*$H367</f>
        <v>95.778516678684937</v>
      </c>
      <c r="N367" s="384">
        <f>VLOOKUP($A367,'8.Non-elective admissions - CCG'!$D$5:$N$215,7,0)*$H367</f>
        <v>88.124820927810276</v>
      </c>
      <c r="O367" s="384">
        <f>VLOOKUP($A367,'8.Non-elective admissions - CCG'!$D$5:$N$215,8,0)*$H367</f>
        <v>86.327450150896041</v>
      </c>
      <c r="P367" s="384">
        <f>VLOOKUP($A367,'8.Non-elective admissions - CCG'!$D$5:$N$215,9,0)*$H367</f>
        <v>90.338001362070344</v>
      </c>
      <c r="Q367" s="384">
        <f>VLOOKUP($A367,'8.Non-elective admissions - CCG'!$D$5:$N$215,10,0)*$H367</f>
        <v>82.514398615611896</v>
      </c>
      <c r="R367" s="384">
        <f>VLOOKUP($A367,'8.Non-elective admissions - CCG'!$D$5:$Q$215,11,0)*$H367</f>
        <v>83.653786876051598</v>
      </c>
      <c r="S367" s="384">
        <f>VLOOKUP($A367,'8.Non-elective admissions - CCG'!$D$5:$Q$215,12,0)*$H367</f>
        <v>82.738704430734714</v>
      </c>
      <c r="T367" s="384">
        <f>VLOOKUP($A367,'8.Non-elective admissions - CCG'!$D$5:$Q$215,13,0)*$H367</f>
        <v>85.979621424565337</v>
      </c>
      <c r="U367" s="384">
        <f>VLOOKUP($A367,'8.Non-elective admissions - CCG'!$D$5:$Q$215,14,0)*$H367</f>
        <v>78.608502375327504</v>
      </c>
    </row>
    <row r="368" spans="1:21">
      <c r="A368" s="395" t="s">
        <v>302</v>
      </c>
      <c r="B368" s="395" t="s">
        <v>1228</v>
      </c>
      <c r="C368" s="395" t="s">
        <v>752</v>
      </c>
      <c r="D368" s="395" t="s">
        <v>372</v>
      </c>
      <c r="E368" s="537">
        <f>COUNTIF($D$5:D368,D368)</f>
        <v>3</v>
      </c>
      <c r="F368" s="537" t="str">
        <f t="shared" si="10"/>
        <v>Rochdale3</v>
      </c>
      <c r="G368" s="541" t="str">
        <f t="shared" si="11"/>
        <v>NHS Heywood, Middleton and Rochdale CCG</v>
      </c>
      <c r="H368" s="546">
        <v>0.96620641152329312</v>
      </c>
      <c r="I368" s="546">
        <v>0.96580660375259741</v>
      </c>
      <c r="J368" s="384">
        <f>VLOOKUP($A368,'8.Non-elective admissions - CCG'!$D$5:$N$215,3,0)*$H368</f>
        <v>6274.5444364322657</v>
      </c>
      <c r="K368" s="384">
        <f>VLOOKUP($A368,'8.Non-elective admissions - CCG'!$D$5:$N$215,4,0)*$H368</f>
        <v>6108.3569336502587</v>
      </c>
      <c r="L368" s="384">
        <f>VLOOKUP($A368,'8.Non-elective admissions - CCG'!$D$5:$N$215,5,0)*$H368</f>
        <v>6397.2526506957238</v>
      </c>
      <c r="M368" s="384">
        <f>VLOOKUP($A368,'8.Non-elective admissions - CCG'!$D$5:$N$215,6,0)*$H368</f>
        <v>6575.0346304160093</v>
      </c>
      <c r="N368" s="384">
        <f>VLOOKUP($A368,'8.Non-elective admissions - CCG'!$D$5:$N$215,7,0)*$H368</f>
        <v>6049.621245893758</v>
      </c>
      <c r="O368" s="384">
        <f>VLOOKUP($A368,'8.Non-elective admissions - CCG'!$D$5:$N$215,8,0)*$H368</f>
        <v>5926.2347547294112</v>
      </c>
      <c r="P368" s="384">
        <f>VLOOKUP($A368,'8.Non-elective admissions - CCG'!$D$5:$N$215,9,0)*$H368</f>
        <v>6201.5523730737386</v>
      </c>
      <c r="Q368" s="384">
        <f>VLOOKUP($A368,'8.Non-elective admissions - CCG'!$D$5:$N$215,10,0)*$H368</f>
        <v>5664.4751580950069</v>
      </c>
      <c r="R368" s="384">
        <f>VLOOKUP($A368,'8.Non-elective admissions - CCG'!$D$5:$Q$215,11,0)*$H368</f>
        <v>5742.6922523836229</v>
      </c>
      <c r="S368" s="384">
        <f>VLOOKUP($A368,'8.Non-elective admissions - CCG'!$D$5:$Q$215,12,0)*$H368</f>
        <v>5679.8733763320242</v>
      </c>
      <c r="T368" s="384">
        <f>VLOOKUP($A368,'8.Non-elective admissions - CCG'!$D$5:$Q$215,13,0)*$H368</f>
        <v>5902.3568956814352</v>
      </c>
      <c r="U368" s="384">
        <f>VLOOKUP($A368,'8.Non-elective admissions - CCG'!$D$5:$Q$215,14,0)*$H368</f>
        <v>5396.3419280843891</v>
      </c>
    </row>
    <row r="369" spans="1:21">
      <c r="A369" s="395" t="s">
        <v>305</v>
      </c>
      <c r="B369" s="395" t="s">
        <v>304</v>
      </c>
      <c r="C369" s="395" t="s">
        <v>664</v>
      </c>
      <c r="D369" s="395" t="s">
        <v>76</v>
      </c>
      <c r="E369" s="537">
        <f>COUNTIF($D$5:D369,D369)</f>
        <v>3</v>
      </c>
      <c r="F369" s="537" t="str">
        <f t="shared" si="10"/>
        <v>Brighton and Hove3</v>
      </c>
      <c r="G369" s="541" t="str">
        <f t="shared" si="11"/>
        <v>NHS High Weald Lewes Havens CCG</v>
      </c>
      <c r="H369" s="546">
        <v>3.3340702544767957E-3</v>
      </c>
      <c r="I369" s="546">
        <v>1.8634598237394096E-3</v>
      </c>
      <c r="J369" s="384">
        <f>VLOOKUP($A369,'8.Non-elective admissions - CCG'!$D$5:$N$215,3,0)*$H369</f>
        <v>10.739040289669759</v>
      </c>
      <c r="K369" s="384">
        <f>VLOOKUP($A369,'8.Non-elective admissions - CCG'!$D$5:$N$215,4,0)*$H369</f>
        <v>11.319168513948721</v>
      </c>
      <c r="L369" s="384">
        <f>VLOOKUP($A369,'8.Non-elective admissions - CCG'!$D$5:$N$215,5,0)*$H369</f>
        <v>11.122458368934591</v>
      </c>
      <c r="M369" s="384">
        <f>VLOOKUP($A369,'8.Non-elective admissions - CCG'!$D$5:$N$215,6,0)*$H369</f>
        <v>11.205810125296511</v>
      </c>
      <c r="N369" s="384">
        <f>VLOOKUP($A369,'8.Non-elective admissions - CCG'!$D$5:$N$215,7,0)*$H369</f>
        <v>12.119240193051047</v>
      </c>
      <c r="O369" s="384">
        <f>VLOOKUP($A369,'8.Non-elective admissions - CCG'!$D$5:$N$215,8,0)*$H369</f>
        <v>12.175808336427709</v>
      </c>
      <c r="P369" s="384">
        <f>VLOOKUP($A369,'8.Non-elective admissions - CCG'!$D$5:$N$215,9,0)*$H369</f>
        <v>12.175808336427709</v>
      </c>
      <c r="Q369" s="384">
        <f>VLOOKUP($A369,'8.Non-elective admissions - CCG'!$D$5:$N$215,10,0)*$H369</f>
        <v>12.066006158749342</v>
      </c>
      <c r="R369" s="384">
        <f>VLOOKUP($A369,'8.Non-elective admissions - CCG'!$D$5:$Q$215,11,0)*$H369</f>
        <v>12.004683349277286</v>
      </c>
      <c r="S369" s="384">
        <f>VLOOKUP($A369,'8.Non-elective admissions - CCG'!$D$5:$Q$215,12,0)*$H369</f>
        <v>12.057134851169659</v>
      </c>
      <c r="T369" s="384">
        <f>VLOOKUP($A369,'8.Non-elective admissions - CCG'!$D$5:$Q$215,13,0)*$H369</f>
        <v>12.057134851169659</v>
      </c>
      <c r="U369" s="384">
        <f>VLOOKUP($A369,'8.Non-elective admissions - CCG'!$D$5:$Q$215,14,0)*$H369</f>
        <v>11.975570376848218</v>
      </c>
    </row>
    <row r="370" spans="1:21">
      <c r="A370" s="395" t="s">
        <v>305</v>
      </c>
      <c r="B370" s="395" t="s">
        <v>304</v>
      </c>
      <c r="C370" s="395" t="s">
        <v>690</v>
      </c>
      <c r="D370" s="395" t="s">
        <v>173</v>
      </c>
      <c r="E370" s="537">
        <f>COUNTIF($D$5:D370,D370)</f>
        <v>4</v>
      </c>
      <c r="F370" s="537" t="str">
        <f t="shared" si="10"/>
        <v>East Sussex4</v>
      </c>
      <c r="G370" s="541" t="str">
        <f t="shared" si="11"/>
        <v>NHS High Weald Lewes Havens CCG</v>
      </c>
      <c r="H370" s="546">
        <v>0.98122046091430004</v>
      </c>
      <c r="I370" s="546">
        <v>0.29862634065442484</v>
      </c>
      <c r="J370" s="384">
        <f>VLOOKUP($A370,'8.Non-elective admissions - CCG'!$D$5:$N$215,3,0)*$H370</f>
        <v>3160.5111046049606</v>
      </c>
      <c r="K370" s="384">
        <f>VLOOKUP($A370,'8.Non-elective admissions - CCG'!$D$5:$N$215,4,0)*$H370</f>
        <v>3331.2434648040485</v>
      </c>
      <c r="L370" s="384">
        <f>VLOOKUP($A370,'8.Non-elective admissions - CCG'!$D$5:$N$215,5,0)*$H370</f>
        <v>3273.3514576101047</v>
      </c>
      <c r="M370" s="384">
        <f>VLOOKUP($A370,'8.Non-elective admissions - CCG'!$D$5:$N$215,6,0)*$H370</f>
        <v>3297.8819691329622</v>
      </c>
      <c r="N370" s="384">
        <f>VLOOKUP($A370,'8.Non-elective admissions - CCG'!$D$5:$N$215,7,0)*$H370</f>
        <v>3566.7054202559912</v>
      </c>
      <c r="O370" s="384">
        <f>VLOOKUP($A370,'8.Non-elective admissions - CCG'!$D$5:$N$215,8,0)*$H370</f>
        <v>3583.3534856777032</v>
      </c>
      <c r="P370" s="384">
        <f>VLOOKUP($A370,'8.Non-elective admissions - CCG'!$D$5:$N$215,9,0)*$H370</f>
        <v>3583.3534856777032</v>
      </c>
      <c r="Q370" s="384">
        <f>VLOOKUP($A370,'8.Non-elective admissions - CCG'!$D$5:$N$215,10,0)*$H370</f>
        <v>3551.0385867201026</v>
      </c>
      <c r="R370" s="384">
        <f>VLOOKUP($A370,'8.Non-elective admissions - CCG'!$D$5:$Q$215,11,0)*$H370</f>
        <v>3532.9912179539715</v>
      </c>
      <c r="S370" s="384">
        <f>VLOOKUP($A370,'8.Non-elective admissions - CCG'!$D$5:$Q$215,12,0)*$H370</f>
        <v>3548.4277513603606</v>
      </c>
      <c r="T370" s="384">
        <f>VLOOKUP($A370,'8.Non-elective admissions - CCG'!$D$5:$Q$215,13,0)*$H370</f>
        <v>3548.4277513603606</v>
      </c>
      <c r="U370" s="384">
        <f>VLOOKUP($A370,'8.Non-elective admissions - CCG'!$D$5:$Q$215,14,0)*$H370</f>
        <v>3524.4232388638252</v>
      </c>
    </row>
    <row r="371" spans="1:21">
      <c r="A371" s="395" t="s">
        <v>305</v>
      </c>
      <c r="B371" s="395" t="s">
        <v>304</v>
      </c>
      <c r="C371" s="395" t="s">
        <v>712</v>
      </c>
      <c r="D371" s="395" t="s">
        <v>252</v>
      </c>
      <c r="E371" s="537">
        <f>COUNTIF($D$5:D371,D371)</f>
        <v>9</v>
      </c>
      <c r="F371" s="537" t="str">
        <f t="shared" si="10"/>
        <v>Kent9</v>
      </c>
      <c r="G371" s="541" t="str">
        <f t="shared" si="11"/>
        <v>NHS High Weald Lewes Havens CCG</v>
      </c>
      <c r="H371" s="546">
        <v>6.0049114798372393E-3</v>
      </c>
      <c r="I371" s="546">
        <v>0</v>
      </c>
      <c r="J371" s="384">
        <f>VLOOKUP($A371,'8.Non-elective admissions - CCG'!$D$5:$N$215,3,0)*$H371</f>
        <v>19.341819876555746</v>
      </c>
      <c r="K371" s="384">
        <f>VLOOKUP($A371,'8.Non-elective admissions - CCG'!$D$5:$N$215,4,0)*$H371</f>
        <v>20.386674474047428</v>
      </c>
      <c r="L371" s="384">
        <f>VLOOKUP($A371,'8.Non-elective admissions - CCG'!$D$5:$N$215,5,0)*$H371</f>
        <v>20.032384696737029</v>
      </c>
      <c r="M371" s="384">
        <f>VLOOKUP($A371,'8.Non-elective admissions - CCG'!$D$5:$N$215,6,0)*$H371</f>
        <v>20.182507483732962</v>
      </c>
      <c r="N371" s="384">
        <f>VLOOKUP($A371,'8.Non-elective admissions - CCG'!$D$5:$N$215,7,0)*$H371</f>
        <v>21.827663788559679</v>
      </c>
      <c r="O371" s="384">
        <f>VLOOKUP($A371,'8.Non-elective admissions - CCG'!$D$5:$N$215,8,0)*$H371</f>
        <v>21.929547272598292</v>
      </c>
      <c r="P371" s="384">
        <f>VLOOKUP($A371,'8.Non-elective admissions - CCG'!$D$5:$N$215,9,0)*$H371</f>
        <v>21.929547272598292</v>
      </c>
      <c r="Q371" s="384">
        <f>VLOOKUP($A371,'8.Non-elective admissions - CCG'!$D$5:$N$215,10,0)*$H371</f>
        <v>21.731785285919514</v>
      </c>
      <c r="R371" s="384">
        <f>VLOOKUP($A371,'8.Non-elective admissions - CCG'!$D$5:$Q$215,11,0)*$H371</f>
        <v>21.621338290365006</v>
      </c>
      <c r="S371" s="384">
        <f>VLOOKUP($A371,'8.Non-elective admissions - CCG'!$D$5:$Q$215,12,0)*$H371</f>
        <v>21.715807393235675</v>
      </c>
      <c r="T371" s="384">
        <f>VLOOKUP($A371,'8.Non-elective admissions - CCG'!$D$5:$Q$215,13,0)*$H371</f>
        <v>21.715807393235675</v>
      </c>
      <c r="U371" s="384">
        <f>VLOOKUP($A371,'8.Non-elective admissions - CCG'!$D$5:$Q$215,14,0)*$H371</f>
        <v>21.568903635721252</v>
      </c>
    </row>
    <row r="372" spans="1:21">
      <c r="A372" s="395" t="s">
        <v>305</v>
      </c>
      <c r="B372" s="395" t="s">
        <v>304</v>
      </c>
      <c r="C372" s="395" t="s">
        <v>791</v>
      </c>
      <c r="D372" s="395" t="s">
        <v>489</v>
      </c>
      <c r="E372" s="537">
        <f>COUNTIF($D$5:D372,D372)</f>
        <v>6</v>
      </c>
      <c r="F372" s="537" t="str">
        <f t="shared" si="10"/>
        <v>West Sussex6</v>
      </c>
      <c r="G372" s="541" t="str">
        <f t="shared" si="11"/>
        <v>NHS High Weald Lewes Havens CCG</v>
      </c>
      <c r="H372" s="546">
        <v>9.4405573513859087E-3</v>
      </c>
      <c r="I372" s="546">
        <v>1.8454128059968906E-3</v>
      </c>
      <c r="J372" s="384">
        <f>VLOOKUP($A372,'8.Non-elective admissions - CCG'!$D$5:$N$215,3,0)*$H372</f>
        <v>30.408035228814011</v>
      </c>
      <c r="K372" s="384">
        <f>VLOOKUP($A372,'8.Non-elective admissions - CCG'!$D$5:$N$215,4,0)*$H372</f>
        <v>32.050692207955159</v>
      </c>
      <c r="L372" s="384">
        <f>VLOOKUP($A372,'8.Non-elective admissions - CCG'!$D$5:$N$215,5,0)*$H372</f>
        <v>31.493699324223392</v>
      </c>
      <c r="M372" s="384">
        <f>VLOOKUP($A372,'8.Non-elective admissions - CCG'!$D$5:$N$215,6,0)*$H372</f>
        <v>31.72971325800804</v>
      </c>
      <c r="N372" s="384">
        <f>VLOOKUP($A372,'8.Non-elective admissions - CCG'!$D$5:$N$215,7,0)*$H372</f>
        <v>34.316128145198299</v>
      </c>
      <c r="O372" s="384">
        <f>VLOOKUP($A372,'8.Non-elective admissions - CCG'!$D$5:$N$215,8,0)*$H372</f>
        <v>34.476303174831145</v>
      </c>
      <c r="P372" s="384">
        <f>VLOOKUP($A372,'8.Non-elective admissions - CCG'!$D$5:$N$215,9,0)*$H372</f>
        <v>34.476303174831145</v>
      </c>
      <c r="Q372" s="384">
        <f>VLOOKUP($A372,'8.Non-elective admissions - CCG'!$D$5:$N$215,10,0)*$H372</f>
        <v>34.165393782838642</v>
      </c>
      <c r="R372" s="384">
        <f>VLOOKUP($A372,'8.Non-elective admissions - CCG'!$D$5:$Q$215,11,0)*$H372</f>
        <v>33.991755720175831</v>
      </c>
      <c r="S372" s="384">
        <f>VLOOKUP($A372,'8.Non-elective admissions - CCG'!$D$5:$Q$215,12,0)*$H372</f>
        <v>34.140274309763548</v>
      </c>
      <c r="T372" s="384">
        <f>VLOOKUP($A372,'8.Non-elective admissions - CCG'!$D$5:$Q$215,13,0)*$H372</f>
        <v>34.140274309763548</v>
      </c>
      <c r="U372" s="384">
        <f>VLOOKUP($A372,'8.Non-elective admissions - CCG'!$D$5:$Q$215,14,0)*$H372</f>
        <v>33.909321138745845</v>
      </c>
    </row>
    <row r="373" spans="1:21">
      <c r="A373" s="395" t="s">
        <v>308</v>
      </c>
      <c r="B373" s="395" t="s">
        <v>307</v>
      </c>
      <c r="C373" s="395" t="s">
        <v>667</v>
      </c>
      <c r="D373" s="395" t="s">
        <v>86</v>
      </c>
      <c r="E373" s="537">
        <f>COUNTIF($D$5:D373,D373)</f>
        <v>5</v>
      </c>
      <c r="F373" s="537" t="str">
        <f t="shared" si="10"/>
        <v>Buckinghamshire5</v>
      </c>
      <c r="G373" s="541" t="str">
        <f t="shared" si="11"/>
        <v>NHS Hillingdon CCG</v>
      </c>
      <c r="H373" s="546">
        <v>8.7319949249944021E-3</v>
      </c>
      <c r="I373" s="546">
        <v>4.8358824734017073E-3</v>
      </c>
      <c r="J373" s="384">
        <f>VLOOKUP($A373,'8.Non-elective admissions - CCG'!$D$5:$N$215,3,0)*$H373</f>
        <v>56.417419210388829</v>
      </c>
      <c r="K373" s="384">
        <f>VLOOKUP($A373,'8.Non-elective admissions - CCG'!$D$5:$N$215,4,0)*$H373</f>
        <v>54.644824240614966</v>
      </c>
      <c r="L373" s="384">
        <f>VLOOKUP($A373,'8.Non-elective admissions - CCG'!$D$5:$N$215,5,0)*$H373</f>
        <v>59.211657586387041</v>
      </c>
      <c r="M373" s="384">
        <f>VLOOKUP($A373,'8.Non-elective admissions - CCG'!$D$5:$N$215,6,0)*$H373</f>
        <v>61.342264348085678</v>
      </c>
      <c r="N373" s="384">
        <f>VLOOKUP($A373,'8.Non-elective admissions - CCG'!$D$5:$N$215,7,0)*$H373</f>
        <v>50.130382864392864</v>
      </c>
      <c r="O373" s="384">
        <f>VLOOKUP($A373,'8.Non-elective admissions - CCG'!$D$5:$N$215,8,0)*$H373</f>
        <v>48.279199940294049</v>
      </c>
      <c r="P373" s="384">
        <f>VLOOKUP($A373,'8.Non-elective admissions - CCG'!$D$5:$N$215,9,0)*$H373</f>
        <v>53.046869169340994</v>
      </c>
      <c r="Q373" s="384">
        <f>VLOOKUP($A373,'8.Non-elective admissions - CCG'!$D$5:$N$215,10,0)*$H373</f>
        <v>54.967908052839761</v>
      </c>
      <c r="R373" s="384">
        <f>VLOOKUP($A373,'8.Non-elective admissions - CCG'!$D$5:$Q$215,11,0)*$H373</f>
        <v>48.401447869243974</v>
      </c>
      <c r="S373" s="384">
        <f>VLOOKUP($A373,'8.Non-elective admissions - CCG'!$D$5:$Q$215,12,0)*$H373</f>
        <v>46.436749011120227</v>
      </c>
      <c r="T373" s="384">
        <f>VLOOKUP($A373,'8.Non-elective admissions - CCG'!$D$5:$Q$215,13,0)*$H373</f>
        <v>51.457646092992015</v>
      </c>
      <c r="U373" s="384">
        <f>VLOOKUP($A373,'8.Non-elective admissions - CCG'!$D$5:$Q$215,14,0)*$H373</f>
        <v>53.448540935890733</v>
      </c>
    </row>
    <row r="374" spans="1:21">
      <c r="A374" s="395" t="s">
        <v>308</v>
      </c>
      <c r="B374" s="395" t="s">
        <v>307</v>
      </c>
      <c r="C374" s="395" t="s">
        <v>688</v>
      </c>
      <c r="D374" s="395" t="s">
        <v>166</v>
      </c>
      <c r="E374" s="537">
        <f>COUNTIF($D$5:D374,D374)</f>
        <v>6</v>
      </c>
      <c r="F374" s="537" t="str">
        <f t="shared" si="10"/>
        <v>Ealing6</v>
      </c>
      <c r="G374" s="541" t="str">
        <f t="shared" si="11"/>
        <v>NHS Hillingdon CCG</v>
      </c>
      <c r="H374" s="546">
        <v>6.374288447577499E-3</v>
      </c>
      <c r="I374" s="546">
        <v>4.7725846886136139E-3</v>
      </c>
      <c r="J374" s="384">
        <f>VLOOKUP($A374,'8.Non-elective admissions - CCG'!$D$5:$N$215,3,0)*$H374</f>
        <v>41.184277659798219</v>
      </c>
      <c r="K374" s="384">
        <f>VLOOKUP($A374,'8.Non-elective admissions - CCG'!$D$5:$N$215,4,0)*$H374</f>
        <v>39.890297104939989</v>
      </c>
      <c r="L374" s="384">
        <f>VLOOKUP($A374,'8.Non-elective admissions - CCG'!$D$5:$N$215,5,0)*$H374</f>
        <v>43.22404996302302</v>
      </c>
      <c r="M374" s="384">
        <f>VLOOKUP($A374,'8.Non-elective admissions - CCG'!$D$5:$N$215,6,0)*$H374</f>
        <v>44.779376344231927</v>
      </c>
      <c r="N374" s="384">
        <f>VLOOKUP($A374,'8.Non-elective admissions - CCG'!$D$5:$N$215,7,0)*$H374</f>
        <v>36.594789977542419</v>
      </c>
      <c r="O374" s="384">
        <f>VLOOKUP($A374,'8.Non-elective admissions - CCG'!$D$5:$N$215,8,0)*$H374</f>
        <v>35.243440826655991</v>
      </c>
      <c r="P374" s="384">
        <f>VLOOKUP($A374,'8.Non-elective admissions - CCG'!$D$5:$N$215,9,0)*$H374</f>
        <v>38.723802319033304</v>
      </c>
      <c r="Q374" s="384">
        <f>VLOOKUP($A374,'8.Non-elective admissions - CCG'!$D$5:$N$215,10,0)*$H374</f>
        <v>40.126145777500355</v>
      </c>
      <c r="R374" s="384">
        <f>VLOOKUP($A374,'8.Non-elective admissions - CCG'!$D$5:$Q$215,11,0)*$H374</f>
        <v>35.332680864922075</v>
      </c>
      <c r="S374" s="384">
        <f>VLOOKUP($A374,'8.Non-elective admissions - CCG'!$D$5:$Q$215,12,0)*$H374</f>
        <v>33.898465964217138</v>
      </c>
      <c r="T374" s="384">
        <f>VLOOKUP($A374,'8.Non-elective admissions - CCG'!$D$5:$Q$215,13,0)*$H374</f>
        <v>37.5636818215742</v>
      </c>
      <c r="U374" s="384">
        <f>VLOOKUP($A374,'8.Non-elective admissions - CCG'!$D$5:$Q$215,14,0)*$H374</f>
        <v>39.017019587621874</v>
      </c>
    </row>
    <row r="375" spans="1:21">
      <c r="A375" s="395" t="s">
        <v>308</v>
      </c>
      <c r="B375" s="395" t="s">
        <v>307</v>
      </c>
      <c r="C375" s="395" t="s">
        <v>701</v>
      </c>
      <c r="D375" s="395" t="s">
        <v>212</v>
      </c>
      <c r="E375" s="537">
        <f>COUNTIF($D$5:D375,D375)</f>
        <v>6</v>
      </c>
      <c r="F375" s="537" t="str">
        <f t="shared" si="10"/>
        <v>Harrow6</v>
      </c>
      <c r="G375" s="541" t="str">
        <f t="shared" si="11"/>
        <v>NHS Hillingdon CCG</v>
      </c>
      <c r="H375" s="546">
        <v>1.7419888865519137E-2</v>
      </c>
      <c r="I375" s="546">
        <v>1.9131393741593925E-2</v>
      </c>
      <c r="J375" s="384">
        <f>VLOOKUP($A375,'8.Non-elective admissions - CCG'!$D$5:$N$215,3,0)*$H375</f>
        <v>112.54990196011914</v>
      </c>
      <c r="K375" s="384">
        <f>VLOOKUP($A375,'8.Non-elective admissions - CCG'!$D$5:$N$215,4,0)*$H375</f>
        <v>109.01366452041876</v>
      </c>
      <c r="L375" s="384">
        <f>VLOOKUP($A375,'8.Non-elective admissions - CCG'!$D$5:$N$215,5,0)*$H375</f>
        <v>118.12426639708526</v>
      </c>
      <c r="M375" s="384">
        <f>VLOOKUP($A375,'8.Non-elective admissions - CCG'!$D$5:$N$215,6,0)*$H375</f>
        <v>122.37471928027193</v>
      </c>
      <c r="N375" s="384">
        <f>VLOOKUP($A375,'8.Non-elective admissions - CCG'!$D$5:$N$215,7,0)*$H375</f>
        <v>100.00758197694536</v>
      </c>
      <c r="O375" s="384">
        <f>VLOOKUP($A375,'8.Non-elective admissions - CCG'!$D$5:$N$215,8,0)*$H375</f>
        <v>96.314565537455309</v>
      </c>
      <c r="P375" s="384">
        <f>VLOOKUP($A375,'8.Non-elective admissions - CCG'!$D$5:$N$215,9,0)*$H375</f>
        <v>105.82582485802875</v>
      </c>
      <c r="Q375" s="384">
        <f>VLOOKUP($A375,'8.Non-elective admissions - CCG'!$D$5:$N$215,10,0)*$H375</f>
        <v>109.65820040844297</v>
      </c>
      <c r="R375" s="384">
        <f>VLOOKUP($A375,'8.Non-elective admissions - CCG'!$D$5:$Q$215,11,0)*$H375</f>
        <v>96.55844398157258</v>
      </c>
      <c r="S375" s="384">
        <f>VLOOKUP($A375,'8.Non-elective admissions - CCG'!$D$5:$Q$215,12,0)*$H375</f>
        <v>92.638968986830776</v>
      </c>
      <c r="T375" s="384">
        <f>VLOOKUP($A375,'8.Non-elective admissions - CCG'!$D$5:$Q$215,13,0)*$H375</f>
        <v>102.65540508450428</v>
      </c>
      <c r="U375" s="384">
        <f>VLOOKUP($A375,'8.Non-elective admissions - CCG'!$D$5:$Q$215,14,0)*$H375</f>
        <v>106.62713974584264</v>
      </c>
    </row>
    <row r="376" spans="1:21">
      <c r="A376" s="395" t="s">
        <v>308</v>
      </c>
      <c r="B376" s="395" t="s">
        <v>307</v>
      </c>
      <c r="C376" s="395" t="s">
        <v>705</v>
      </c>
      <c r="D376" s="395" t="s">
        <v>227</v>
      </c>
      <c r="E376" s="537">
        <f>COUNTIF($D$5:D376,D376)</f>
        <v>10</v>
      </c>
      <c r="F376" s="537" t="str">
        <f t="shared" si="10"/>
        <v>Hertfordshire10</v>
      </c>
      <c r="G376" s="541" t="str">
        <f t="shared" si="11"/>
        <v>NHS Hillingdon CCG</v>
      </c>
      <c r="H376" s="546">
        <v>2.3512609489174902E-2</v>
      </c>
      <c r="I376" s="546">
        <v>5.8168664789536185E-3</v>
      </c>
      <c r="J376" s="384">
        <f>VLOOKUP($A376,'8.Non-elective admissions - CCG'!$D$5:$N$215,3,0)*$H376</f>
        <v>151.91496990955903</v>
      </c>
      <c r="K376" s="384">
        <f>VLOOKUP($A376,'8.Non-elective admissions - CCG'!$D$5:$N$215,4,0)*$H376</f>
        <v>147.14191018325653</v>
      </c>
      <c r="L376" s="384">
        <f>VLOOKUP($A376,'8.Non-elective admissions - CCG'!$D$5:$N$215,5,0)*$H376</f>
        <v>159.43900494609503</v>
      </c>
      <c r="M376" s="384">
        <f>VLOOKUP($A376,'8.Non-elective admissions - CCG'!$D$5:$N$215,6,0)*$H376</f>
        <v>165.17608166145368</v>
      </c>
      <c r="N376" s="384">
        <f>VLOOKUP($A376,'8.Non-elective admissions - CCG'!$D$5:$N$215,7,0)*$H376</f>
        <v>134.9858910773531</v>
      </c>
      <c r="O376" s="384">
        <f>VLOOKUP($A376,'8.Non-elective admissions - CCG'!$D$5:$N$215,8,0)*$H376</f>
        <v>130.00121786564804</v>
      </c>
      <c r="P376" s="384">
        <f>VLOOKUP($A376,'8.Non-elective admissions - CCG'!$D$5:$N$215,9,0)*$H376</f>
        <v>142.83910264673753</v>
      </c>
      <c r="Q376" s="384">
        <f>VLOOKUP($A376,'8.Non-elective admissions - CCG'!$D$5:$N$215,10,0)*$H376</f>
        <v>148.01187673435601</v>
      </c>
      <c r="R376" s="384">
        <f>VLOOKUP($A376,'8.Non-elective admissions - CCG'!$D$5:$Q$215,11,0)*$H376</f>
        <v>130.33039439849648</v>
      </c>
      <c r="S376" s="384">
        <f>VLOOKUP($A376,'8.Non-elective admissions - CCG'!$D$5:$Q$215,12,0)*$H376</f>
        <v>125.04005726343213</v>
      </c>
      <c r="T376" s="384">
        <f>VLOOKUP($A376,'8.Non-elective admissions - CCG'!$D$5:$Q$215,13,0)*$H376</f>
        <v>138.55980771970769</v>
      </c>
      <c r="U376" s="384">
        <f>VLOOKUP($A376,'8.Non-elective admissions - CCG'!$D$5:$Q$215,14,0)*$H376</f>
        <v>143.92068268323959</v>
      </c>
    </row>
    <row r="377" spans="1:21">
      <c r="A377" s="395" t="s">
        <v>308</v>
      </c>
      <c r="B377" s="395" t="s">
        <v>307</v>
      </c>
      <c r="C377" s="395" t="s">
        <v>706</v>
      </c>
      <c r="D377" s="395" t="s">
        <v>231</v>
      </c>
      <c r="E377" s="537">
        <f>COUNTIF($D$5:D377,D377)</f>
        <v>5</v>
      </c>
      <c r="F377" s="537" t="str">
        <f t="shared" si="10"/>
        <v>Hillingdon5</v>
      </c>
      <c r="G377" s="541" t="str">
        <f t="shared" si="11"/>
        <v>NHS Hillingdon CCG</v>
      </c>
      <c r="H377" s="546">
        <v>0.94228877324630744</v>
      </c>
      <c r="I377" s="546">
        <v>0.89910822664961876</v>
      </c>
      <c r="J377" s="384">
        <f>VLOOKUP($A377,'8.Non-elective admissions - CCG'!$D$5:$N$215,3,0)*$H377</f>
        <v>6088.1277639443924</v>
      </c>
      <c r="K377" s="384">
        <f>VLOOKUP($A377,'8.Non-elective admissions - CCG'!$D$5:$N$215,4,0)*$H377</f>
        <v>5896.8431429753919</v>
      </c>
      <c r="L377" s="384">
        <f>VLOOKUP($A377,'8.Non-elective admissions - CCG'!$D$5:$N$215,5,0)*$H377</f>
        <v>6389.6601713832106</v>
      </c>
      <c r="M377" s="384">
        <f>VLOOKUP($A377,'8.Non-elective admissions - CCG'!$D$5:$N$215,6,0)*$H377</f>
        <v>6619.5786320553098</v>
      </c>
      <c r="N377" s="384">
        <f>VLOOKUP($A377,'8.Non-elective admissions - CCG'!$D$5:$N$215,7,0)*$H377</f>
        <v>5409.6798472070514</v>
      </c>
      <c r="O377" s="384">
        <f>VLOOKUP($A377,'8.Non-elective admissions - CCG'!$D$5:$N$215,8,0)*$H377</f>
        <v>5209.9146272788339</v>
      </c>
      <c r="P377" s="384">
        <f>VLOOKUP($A377,'8.Non-elective admissions - CCG'!$D$5:$N$215,9,0)*$H377</f>
        <v>5724.4042974713175</v>
      </c>
      <c r="Q377" s="384">
        <f>VLOOKUP($A377,'8.Non-elective admissions - CCG'!$D$5:$N$215,10,0)*$H377</f>
        <v>5931.7078275855056</v>
      </c>
      <c r="R377" s="384">
        <f>VLOOKUP($A377,'8.Non-elective admissions - CCG'!$D$5:$Q$215,11,0)*$H377</f>
        <v>5223.1066701042819</v>
      </c>
      <c r="S377" s="384">
        <f>VLOOKUP($A377,'8.Non-elective admissions - CCG'!$D$5:$Q$215,12,0)*$H377</f>
        <v>5011.0916961238627</v>
      </c>
      <c r="T377" s="384">
        <f>VLOOKUP($A377,'8.Non-elective admissions - CCG'!$D$5:$Q$215,13,0)*$H377</f>
        <v>5552.9077407404893</v>
      </c>
      <c r="U377" s="384">
        <f>VLOOKUP($A377,'8.Non-elective admissions - CCG'!$D$5:$Q$215,14,0)*$H377</f>
        <v>5767.7495810406481</v>
      </c>
    </row>
    <row r="378" spans="1:21">
      <c r="A378" s="395" t="s">
        <v>308</v>
      </c>
      <c r="B378" s="395" t="s">
        <v>307</v>
      </c>
      <c r="C378" s="395" t="s">
        <v>707</v>
      </c>
      <c r="D378" s="395" t="s">
        <v>234</v>
      </c>
      <c r="E378" s="537">
        <f>COUNTIF($D$5:D378,D378)</f>
        <v>3</v>
      </c>
      <c r="F378" s="537" t="str">
        <f t="shared" si="10"/>
        <v>Hounslow3</v>
      </c>
      <c r="G378" s="541" t="str">
        <f t="shared" si="11"/>
        <v>NHS Hillingdon CCG</v>
      </c>
      <c r="H378" s="546">
        <v>1.6724450264266669E-3</v>
      </c>
      <c r="I378" s="546">
        <v>1.6550788764263726E-3</v>
      </c>
      <c r="J378" s="384">
        <f>VLOOKUP($A378,'8.Non-elective admissions - CCG'!$D$5:$N$215,3,0)*$H378</f>
        <v>10.805667315742696</v>
      </c>
      <c r="K378" s="384">
        <f>VLOOKUP($A378,'8.Non-elective admissions - CCG'!$D$5:$N$215,4,0)*$H378</f>
        <v>10.466160975378081</v>
      </c>
      <c r="L378" s="384">
        <f>VLOOKUP($A378,'8.Non-elective admissions - CCG'!$D$5:$N$215,5,0)*$H378</f>
        <v>11.340849724199229</v>
      </c>
      <c r="M378" s="384">
        <f>VLOOKUP($A378,'8.Non-elective admissions - CCG'!$D$5:$N$215,6,0)*$H378</f>
        <v>11.748926310647335</v>
      </c>
      <c r="N378" s="384">
        <f>VLOOKUP($A378,'8.Non-elective admissions - CCG'!$D$5:$N$215,7,0)*$H378</f>
        <v>9.6015068967154953</v>
      </c>
      <c r="O378" s="384">
        <f>VLOOKUP($A378,'8.Non-elective admissions - CCG'!$D$5:$N$215,8,0)*$H378</f>
        <v>9.2469485511130411</v>
      </c>
      <c r="P378" s="384">
        <f>VLOOKUP($A378,'8.Non-elective admissions - CCG'!$D$5:$N$215,9,0)*$H378</f>
        <v>10.160103535542001</v>
      </c>
      <c r="Q378" s="384">
        <f>VLOOKUP($A378,'8.Non-elective admissions - CCG'!$D$5:$N$215,10,0)*$H378</f>
        <v>10.528041441355867</v>
      </c>
      <c r="R378" s="384">
        <f>VLOOKUP($A378,'8.Non-elective admissions - CCG'!$D$5:$Q$215,11,0)*$H378</f>
        <v>9.2703627814830138</v>
      </c>
      <c r="S378" s="384">
        <f>VLOOKUP($A378,'8.Non-elective admissions - CCG'!$D$5:$Q$215,12,0)*$H378</f>
        <v>8.8940626505370144</v>
      </c>
      <c r="T378" s="384">
        <f>VLOOKUP($A378,'8.Non-elective admissions - CCG'!$D$5:$Q$215,13,0)*$H378</f>
        <v>9.8557185407323473</v>
      </c>
      <c r="U378" s="384">
        <f>VLOOKUP($A378,'8.Non-elective admissions - CCG'!$D$5:$Q$215,14,0)*$H378</f>
        <v>10.237036006757629</v>
      </c>
    </row>
    <row r="379" spans="1:21">
      <c r="A379" s="395" t="s">
        <v>311</v>
      </c>
      <c r="B379" s="395" t="s">
        <v>310</v>
      </c>
      <c r="C379" s="395" t="s">
        <v>690</v>
      </c>
      <c r="D379" s="395" t="s">
        <v>173</v>
      </c>
      <c r="E379" s="537">
        <f>COUNTIF($D$5:D379,D379)</f>
        <v>5</v>
      </c>
      <c r="F379" s="537" t="str">
        <f t="shared" si="10"/>
        <v>East Sussex5</v>
      </c>
      <c r="G379" s="541" t="str">
        <f t="shared" si="11"/>
        <v>NHS Horsham and Mid Sussex CCG</v>
      </c>
      <c r="H379" s="546">
        <v>2.9331906117014337E-2</v>
      </c>
      <c r="I379" s="546">
        <v>1.2258191221236621E-2</v>
      </c>
      <c r="J379" s="384">
        <f>VLOOKUP($A379,'8.Non-elective admissions - CCG'!$D$5:$N$215,3,0)*$H379</f>
        <v>127.03648539278909</v>
      </c>
      <c r="K379" s="384">
        <f>VLOOKUP($A379,'8.Non-elective admissions - CCG'!$D$5:$N$215,4,0)*$H379</f>
        <v>140.70515364331777</v>
      </c>
      <c r="L379" s="384">
        <f>VLOOKUP($A379,'8.Non-elective admissions - CCG'!$D$5:$N$215,5,0)*$H379</f>
        <v>143.08103803879592</v>
      </c>
      <c r="M379" s="384">
        <f>VLOOKUP($A379,'8.Non-elective admissions - CCG'!$D$5:$N$215,6,0)*$H379</f>
        <v>145.39825862204006</v>
      </c>
      <c r="N379" s="384">
        <f>VLOOKUP($A379,'8.Non-elective admissions - CCG'!$D$5:$N$215,7,0)*$H379</f>
        <v>122.02072944677964</v>
      </c>
      <c r="O379" s="384">
        <f>VLOOKUP($A379,'8.Non-elective admissions - CCG'!$D$5:$N$215,8,0)*$H379</f>
        <v>123.19400569146022</v>
      </c>
      <c r="P379" s="384">
        <f>VLOOKUP($A379,'8.Non-elective admissions - CCG'!$D$5:$N$215,9,0)*$H379</f>
        <v>124.45527765449184</v>
      </c>
      <c r="Q379" s="384">
        <f>VLOOKUP($A379,'8.Non-elective admissions - CCG'!$D$5:$N$215,10,0)*$H379</f>
        <v>118.20758165156778</v>
      </c>
      <c r="R379" s="384">
        <f>VLOOKUP($A379,'8.Non-elective admissions - CCG'!$D$5:$Q$215,11,0)*$H379</f>
        <v>114.54109338694099</v>
      </c>
      <c r="S379" s="384">
        <f>VLOOKUP($A379,'8.Non-elective admissions - CCG'!$D$5:$Q$215,12,0)*$H379</f>
        <v>115.39171866433441</v>
      </c>
      <c r="T379" s="384">
        <f>VLOOKUP($A379,'8.Non-elective admissions - CCG'!$D$5:$Q$215,13,0)*$H379</f>
        <v>116.53566300289796</v>
      </c>
      <c r="U379" s="384">
        <f>VLOOKUP($A379,'8.Non-elective admissions - CCG'!$D$5:$Q$215,14,0)*$H379</f>
        <v>112.60518758321804</v>
      </c>
    </row>
    <row r="380" spans="1:21">
      <c r="A380" s="395" t="s">
        <v>311</v>
      </c>
      <c r="B380" s="395" t="s">
        <v>310</v>
      </c>
      <c r="C380" s="395" t="s">
        <v>775</v>
      </c>
      <c r="D380" s="395" t="s">
        <v>441</v>
      </c>
      <c r="E380" s="537">
        <f>COUNTIF($D$5:D380,D380)</f>
        <v>8</v>
      </c>
      <c r="F380" s="537" t="str">
        <f t="shared" si="10"/>
        <v>Surrey8</v>
      </c>
      <c r="G380" s="541" t="str">
        <f t="shared" si="11"/>
        <v>NHS Horsham and Mid Sussex CCG</v>
      </c>
      <c r="H380" s="546">
        <v>1.6051832319487598E-2</v>
      </c>
      <c r="I380" s="546">
        <v>3.0420477128979854E-3</v>
      </c>
      <c r="J380" s="384">
        <f>VLOOKUP($A380,'8.Non-elective admissions - CCG'!$D$5:$N$215,3,0)*$H380</f>
        <v>69.520485775700791</v>
      </c>
      <c r="K380" s="384">
        <f>VLOOKUP($A380,'8.Non-elective admissions - CCG'!$D$5:$N$215,4,0)*$H380</f>
        <v>77.000639636582008</v>
      </c>
      <c r="L380" s="384">
        <f>VLOOKUP($A380,'8.Non-elective admissions - CCG'!$D$5:$N$215,5,0)*$H380</f>
        <v>78.300838054460499</v>
      </c>
      <c r="M380" s="384">
        <f>VLOOKUP($A380,'8.Non-elective admissions - CCG'!$D$5:$N$215,6,0)*$H380</f>
        <v>79.568932807700023</v>
      </c>
      <c r="N380" s="384">
        <f>VLOOKUP($A380,'8.Non-elective admissions - CCG'!$D$5:$N$215,7,0)*$H380</f>
        <v>66.775622449068408</v>
      </c>
      <c r="O380" s="384">
        <f>VLOOKUP($A380,'8.Non-elective admissions - CCG'!$D$5:$N$215,8,0)*$H380</f>
        <v>67.417695741847908</v>
      </c>
      <c r="P380" s="384">
        <f>VLOOKUP($A380,'8.Non-elective admissions - CCG'!$D$5:$N$215,9,0)*$H380</f>
        <v>68.10792453158588</v>
      </c>
      <c r="Q380" s="384">
        <f>VLOOKUP($A380,'8.Non-elective admissions - CCG'!$D$5:$N$215,10,0)*$H380</f>
        <v>64.688884247535015</v>
      </c>
      <c r="R380" s="384">
        <f>VLOOKUP($A380,'8.Non-elective admissions - CCG'!$D$5:$Q$215,11,0)*$H380</f>
        <v>62.682405207599068</v>
      </c>
      <c r="S380" s="384">
        <f>VLOOKUP($A380,'8.Non-elective admissions - CCG'!$D$5:$Q$215,12,0)*$H380</f>
        <v>63.147908344864213</v>
      </c>
      <c r="T380" s="384">
        <f>VLOOKUP($A380,'8.Non-elective admissions - CCG'!$D$5:$Q$215,13,0)*$H380</f>
        <v>63.773929805324229</v>
      </c>
      <c r="U380" s="384">
        <f>VLOOKUP($A380,'8.Non-elective admissions - CCG'!$D$5:$Q$215,14,0)*$H380</f>
        <v>61.622984274512888</v>
      </c>
    </row>
    <row r="381" spans="1:21">
      <c r="A381" s="395" t="s">
        <v>311</v>
      </c>
      <c r="B381" s="395" t="s">
        <v>310</v>
      </c>
      <c r="C381" s="395" t="s">
        <v>791</v>
      </c>
      <c r="D381" s="395" t="s">
        <v>489</v>
      </c>
      <c r="E381" s="537">
        <f>COUNTIF($D$5:D381,D381)</f>
        <v>7</v>
      </c>
      <c r="F381" s="537" t="str">
        <f t="shared" si="10"/>
        <v>West Sussex7</v>
      </c>
      <c r="G381" s="541" t="str">
        <f t="shared" si="11"/>
        <v>NHS Horsham and Mid Sussex CCG</v>
      </c>
      <c r="H381" s="546">
        <v>0.9546162615634981</v>
      </c>
      <c r="I381" s="546">
        <v>0.25624140802661127</v>
      </c>
      <c r="J381" s="384">
        <f>VLOOKUP($A381,'8.Non-elective admissions - CCG'!$D$5:$N$215,3,0)*$H381</f>
        <v>4134.4430288315107</v>
      </c>
      <c r="K381" s="384">
        <f>VLOOKUP($A381,'8.Non-elective admissions - CCG'!$D$5:$N$215,4,0)*$H381</f>
        <v>4579.2942067201002</v>
      </c>
      <c r="L381" s="384">
        <f>VLOOKUP($A381,'8.Non-elective admissions - CCG'!$D$5:$N$215,5,0)*$H381</f>
        <v>4656.6181239067437</v>
      </c>
      <c r="M381" s="384">
        <f>VLOOKUP($A381,'8.Non-elective admissions - CCG'!$D$5:$N$215,6,0)*$H381</f>
        <v>4732.0328085702604</v>
      </c>
      <c r="N381" s="384">
        <f>VLOOKUP($A381,'8.Non-elective admissions - CCG'!$D$5:$N$215,7,0)*$H381</f>
        <v>3971.2036481041523</v>
      </c>
      <c r="O381" s="384">
        <f>VLOOKUP($A381,'8.Non-elective admissions - CCG'!$D$5:$N$215,8,0)*$H381</f>
        <v>4009.3882985666919</v>
      </c>
      <c r="P381" s="384">
        <f>VLOOKUP($A381,'8.Non-elective admissions - CCG'!$D$5:$N$215,9,0)*$H381</f>
        <v>4050.4367978139226</v>
      </c>
      <c r="Q381" s="384">
        <f>VLOOKUP($A381,'8.Non-elective admissions - CCG'!$D$5:$N$215,10,0)*$H381</f>
        <v>3847.1035341008974</v>
      </c>
      <c r="R381" s="384">
        <f>VLOOKUP($A381,'8.Non-elective admissions - CCG'!$D$5:$Q$215,11,0)*$H381</f>
        <v>3727.7765014054603</v>
      </c>
      <c r="S381" s="384">
        <f>VLOOKUP($A381,'8.Non-elective admissions - CCG'!$D$5:$Q$215,12,0)*$H381</f>
        <v>3755.4603729908017</v>
      </c>
      <c r="T381" s="384">
        <f>VLOOKUP($A381,'8.Non-elective admissions - CCG'!$D$5:$Q$215,13,0)*$H381</f>
        <v>3792.6904071917779</v>
      </c>
      <c r="U381" s="384">
        <f>VLOOKUP($A381,'8.Non-elective admissions - CCG'!$D$5:$Q$215,14,0)*$H381</f>
        <v>3664.7718281422694</v>
      </c>
    </row>
    <row r="382" spans="1:21">
      <c r="A382" s="395" t="s">
        <v>314</v>
      </c>
      <c r="B382" s="395" t="s">
        <v>313</v>
      </c>
      <c r="C382" s="395" t="s">
        <v>688</v>
      </c>
      <c r="D382" s="395" t="s">
        <v>166</v>
      </c>
      <c r="E382" s="537">
        <f>COUNTIF($D$5:D382,D382)</f>
        <v>7</v>
      </c>
      <c r="F382" s="537" t="str">
        <f t="shared" si="10"/>
        <v>Ealing7</v>
      </c>
      <c r="G382" s="541" t="str">
        <f t="shared" si="11"/>
        <v>NHS Hounslow CCG</v>
      </c>
      <c r="H382" s="546">
        <v>5.0997895249761428E-2</v>
      </c>
      <c r="I382" s="546">
        <v>3.8279735945766773E-2</v>
      </c>
      <c r="J382" s="384">
        <f>VLOOKUP($A382,'8.Non-elective admissions - CCG'!$D$5:$N$215,3,0)*$H382</f>
        <v>289.10706817089755</v>
      </c>
      <c r="K382" s="384">
        <f>VLOOKUP($A382,'8.Non-elective admissions - CCG'!$D$5:$N$215,4,0)*$H382</f>
        <v>288.03611237065257</v>
      </c>
      <c r="L382" s="384">
        <f>VLOOKUP($A382,'8.Non-elective admissions - CCG'!$D$5:$N$215,5,0)*$H382</f>
        <v>310.32219259479831</v>
      </c>
      <c r="M382" s="384">
        <f>VLOOKUP($A382,'8.Non-elective admissions - CCG'!$D$5:$N$215,6,0)*$H382</f>
        <v>307.82329572755998</v>
      </c>
      <c r="N382" s="384">
        <f>VLOOKUP($A382,'8.Non-elective admissions - CCG'!$D$5:$N$215,7,0)*$H382</f>
        <v>357.16118899700734</v>
      </c>
      <c r="O382" s="384">
        <f>VLOOKUP($A382,'8.Non-elective admissions - CCG'!$D$5:$N$215,8,0)*$H382</f>
        <v>359.51139147649872</v>
      </c>
      <c r="P382" s="384">
        <f>VLOOKUP($A382,'8.Non-elective admissions - CCG'!$D$5:$N$215,9,0)*$H382</f>
        <v>359.74657743272485</v>
      </c>
      <c r="Q382" s="384">
        <f>VLOOKUP($A382,'8.Non-elective admissions - CCG'!$D$5:$N$215,10,0)*$H382</f>
        <v>352.80482247675559</v>
      </c>
      <c r="R382" s="384">
        <f>VLOOKUP($A382,'8.Non-elective admissions - CCG'!$D$5:$Q$215,11,0)*$H382</f>
        <v>353.94723285291627</v>
      </c>
      <c r="S382" s="384">
        <f>VLOOKUP($A382,'8.Non-elective admissions - CCG'!$D$5:$Q$215,12,0)*$H382</f>
        <v>356.50355592712941</v>
      </c>
      <c r="T382" s="384">
        <f>VLOOKUP($A382,'8.Non-elective admissions - CCG'!$D$5:$Q$215,13,0)*$H382</f>
        <v>356.69025129707586</v>
      </c>
      <c r="U382" s="384">
        <f>VLOOKUP($A382,'8.Non-elective admissions - CCG'!$D$5:$Q$215,14,0)*$H382</f>
        <v>349.81006892430509</v>
      </c>
    </row>
    <row r="383" spans="1:21">
      <c r="A383" s="395" t="s">
        <v>314</v>
      </c>
      <c r="B383" s="395" t="s">
        <v>313</v>
      </c>
      <c r="C383" s="395" t="s">
        <v>698</v>
      </c>
      <c r="D383" s="395" t="s">
        <v>202</v>
      </c>
      <c r="E383" s="537">
        <f>COUNTIF($D$5:D383,D383)</f>
        <v>6</v>
      </c>
      <c r="F383" s="537" t="str">
        <f t="shared" si="10"/>
        <v>Hammersmith and Fulham6</v>
      </c>
      <c r="G383" s="541" t="str">
        <f t="shared" si="11"/>
        <v>NHS Hounslow CCG</v>
      </c>
      <c r="H383" s="546">
        <v>5.4141485236293731E-3</v>
      </c>
      <c r="I383" s="546">
        <v>7.6708073045262566E-3</v>
      </c>
      <c r="J383" s="384">
        <f>VLOOKUP($A383,'8.Non-elective admissions - CCG'!$D$5:$N$215,3,0)*$H383</f>
        <v>30.692807980454916</v>
      </c>
      <c r="K383" s="384">
        <f>VLOOKUP($A383,'8.Non-elective admissions - CCG'!$D$5:$N$215,4,0)*$H383</f>
        <v>30.579110861458698</v>
      </c>
      <c r="L383" s="384">
        <f>VLOOKUP($A383,'8.Non-elective admissions - CCG'!$D$5:$N$215,5,0)*$H383</f>
        <v>32.945093766284735</v>
      </c>
      <c r="M383" s="384">
        <f>VLOOKUP($A383,'8.Non-elective admissions - CCG'!$D$5:$N$215,6,0)*$H383</f>
        <v>32.679800488626896</v>
      </c>
      <c r="N383" s="384">
        <f>VLOOKUP($A383,'8.Non-elective admissions - CCG'!$D$5:$N$215,7,0)*$H383</f>
        <v>37.917716302515544</v>
      </c>
      <c r="O383" s="384">
        <f>VLOOKUP($A383,'8.Non-elective admissions - CCG'!$D$5:$N$215,8,0)*$H383</f>
        <v>38.167223565947708</v>
      </c>
      <c r="P383" s="384">
        <f>VLOOKUP($A383,'8.Non-elective admissions - CCG'!$D$5:$N$215,9,0)*$H383</f>
        <v>38.192191884570349</v>
      </c>
      <c r="Q383" s="384">
        <f>VLOOKUP($A383,'8.Non-elective admissions - CCG'!$D$5:$N$215,10,0)*$H383</f>
        <v>37.45522632624305</v>
      </c>
      <c r="R383" s="384">
        <f>VLOOKUP($A383,'8.Non-elective admissions - CCG'!$D$5:$Q$215,11,0)*$H383</f>
        <v>37.57650936000703</v>
      </c>
      <c r="S383" s="384">
        <f>VLOOKUP($A383,'8.Non-elective admissions - CCG'!$D$5:$Q$215,12,0)*$H383</f>
        <v>37.8478992424794</v>
      </c>
      <c r="T383" s="384">
        <f>VLOOKUP($A383,'8.Non-elective admissions - CCG'!$D$5:$Q$215,13,0)*$H383</f>
        <v>37.867719598919869</v>
      </c>
      <c r="U383" s="384">
        <f>VLOOKUP($A383,'8.Non-elective admissions - CCG'!$D$5:$Q$215,14,0)*$H383</f>
        <v>37.13729084194069</v>
      </c>
    </row>
    <row r="384" spans="1:21">
      <c r="A384" s="395" t="s">
        <v>314</v>
      </c>
      <c r="B384" s="395" t="s">
        <v>313</v>
      </c>
      <c r="C384" s="395" t="s">
        <v>706</v>
      </c>
      <c r="D384" s="395" t="s">
        <v>231</v>
      </c>
      <c r="E384" s="537">
        <f>COUNTIF($D$5:D384,D384)</f>
        <v>6</v>
      </c>
      <c r="F384" s="537" t="str">
        <f t="shared" si="10"/>
        <v>Hillingdon6</v>
      </c>
      <c r="G384" s="541" t="str">
        <f t="shared" si="11"/>
        <v>NHS Hounslow CCG</v>
      </c>
      <c r="H384" s="546">
        <v>9.0856179912155426E-3</v>
      </c>
      <c r="I384" s="546">
        <v>8.6911486234968523E-3</v>
      </c>
      <c r="J384" s="384">
        <f>VLOOKUP($A384,'8.Non-elective admissions - CCG'!$D$5:$N$215,3,0)*$H384</f>
        <v>51.506368392200912</v>
      </c>
      <c r="K384" s="384">
        <f>VLOOKUP($A384,'8.Non-elective admissions - CCG'!$D$5:$N$215,4,0)*$H384</f>
        <v>51.315570414385384</v>
      </c>
      <c r="L384" s="384">
        <f>VLOOKUP($A384,'8.Non-elective admissions - CCG'!$D$5:$N$215,5,0)*$H384</f>
        <v>55.285985476546578</v>
      </c>
      <c r="M384" s="384">
        <f>VLOOKUP($A384,'8.Non-elective admissions - CCG'!$D$5:$N$215,6,0)*$H384</f>
        <v>54.840790194977018</v>
      </c>
      <c r="N384" s="384">
        <f>VLOOKUP($A384,'8.Non-elective admissions - CCG'!$D$5:$N$215,7,0)*$H384</f>
        <v>63.6306676701589</v>
      </c>
      <c r="O384" s="384">
        <f>VLOOKUP($A384,'8.Non-elective admissions - CCG'!$D$5:$N$215,8,0)*$H384</f>
        <v>64.04937204660601</v>
      </c>
      <c r="P384" s="384">
        <f>VLOOKUP($A384,'8.Non-elective admissions - CCG'!$D$5:$N$215,9,0)*$H384</f>
        <v>64.091272006294616</v>
      </c>
      <c r="Q384" s="384">
        <f>VLOOKUP($A384,'8.Non-elective admissions - CCG'!$D$5:$N$215,10,0)*$H384</f>
        <v>62.854551678726622</v>
      </c>
      <c r="R384" s="384">
        <f>VLOOKUP($A384,'8.Non-elective admissions - CCG'!$D$5:$Q$215,11,0)*$H384</f>
        <v>63.058079769761804</v>
      </c>
      <c r="S384" s="384">
        <f>VLOOKUP($A384,'8.Non-elective admissions - CCG'!$D$5:$Q$215,12,0)*$H384</f>
        <v>63.513505916285752</v>
      </c>
      <c r="T384" s="384">
        <f>VLOOKUP($A384,'8.Non-elective admissions - CCG'!$D$5:$Q$215,13,0)*$H384</f>
        <v>63.546766951937414</v>
      </c>
      <c r="U384" s="384">
        <f>VLOOKUP($A384,'8.Non-elective admissions - CCG'!$D$5:$Q$215,14,0)*$H384</f>
        <v>62.32101619413173</v>
      </c>
    </row>
    <row r="385" spans="1:21">
      <c r="A385" s="395" t="s">
        <v>314</v>
      </c>
      <c r="B385" s="395" t="s">
        <v>313</v>
      </c>
      <c r="C385" s="395" t="s">
        <v>707</v>
      </c>
      <c r="D385" s="395" t="s">
        <v>234</v>
      </c>
      <c r="E385" s="537">
        <f>COUNTIF($D$5:D385,D385)</f>
        <v>4</v>
      </c>
      <c r="F385" s="537" t="str">
        <f t="shared" si="10"/>
        <v>Hounslow4</v>
      </c>
      <c r="G385" s="541" t="str">
        <f t="shared" si="11"/>
        <v>NHS Hounslow CCG</v>
      </c>
      <c r="H385" s="546">
        <v>0.87847266870148399</v>
      </c>
      <c r="I385" s="546">
        <v>0.87154506480993454</v>
      </c>
      <c r="J385" s="384">
        <f>VLOOKUP($A385,'8.Non-elective admissions - CCG'!$D$5:$N$215,3,0)*$H385</f>
        <v>4980.0615588687124</v>
      </c>
      <c r="K385" s="384">
        <f>VLOOKUP($A385,'8.Non-elective admissions - CCG'!$D$5:$N$215,4,0)*$H385</f>
        <v>4961.6136328259818</v>
      </c>
      <c r="L385" s="384">
        <f>VLOOKUP($A385,'8.Non-elective admissions - CCG'!$D$5:$N$215,5,0)*$H385</f>
        <v>5345.5061890485304</v>
      </c>
      <c r="M385" s="384">
        <f>VLOOKUP($A385,'8.Non-elective admissions - CCG'!$D$5:$N$215,6,0)*$H385</f>
        <v>5302.4610282821577</v>
      </c>
      <c r="N385" s="384">
        <f>VLOOKUP($A385,'8.Non-elective admissions - CCG'!$D$5:$N$215,7,0)*$H385</f>
        <v>6152.3390586646601</v>
      </c>
      <c r="O385" s="384">
        <f>VLOOKUP($A385,'8.Non-elective admissions - CCG'!$D$5:$N$215,8,0)*$H385</f>
        <v>6192.8228596928457</v>
      </c>
      <c r="P385" s="384">
        <f>VLOOKUP($A385,'8.Non-elective admissions - CCG'!$D$5:$N$215,9,0)*$H385</f>
        <v>6196.8740942309623</v>
      </c>
      <c r="Q385" s="384">
        <f>VLOOKUP($A385,'8.Non-elective admissions - CCG'!$D$5:$N$215,10,0)*$H385</f>
        <v>6077.2977475645657</v>
      </c>
      <c r="R385" s="384">
        <f>VLOOKUP($A385,'8.Non-elective admissions - CCG'!$D$5:$Q$215,11,0)*$H385</f>
        <v>6096.9765262079418</v>
      </c>
      <c r="S385" s="384">
        <f>VLOOKUP($A385,'8.Non-elective admissions - CCG'!$D$5:$Q$215,12,0)*$H385</f>
        <v>6141.0108915884957</v>
      </c>
      <c r="T385" s="384">
        <f>VLOOKUP($A385,'8.Non-elective admissions - CCG'!$D$5:$Q$215,13,0)*$H385</f>
        <v>6144.2268435227434</v>
      </c>
      <c r="U385" s="384">
        <f>VLOOKUP($A385,'8.Non-elective admissions - CCG'!$D$5:$Q$215,14,0)*$H385</f>
        <v>6025.7111255590871</v>
      </c>
    </row>
    <row r="386" spans="1:21">
      <c r="A386" s="395" t="s">
        <v>314</v>
      </c>
      <c r="B386" s="395" t="s">
        <v>313</v>
      </c>
      <c r="C386" s="395" t="s">
        <v>751</v>
      </c>
      <c r="D386" s="395" t="s">
        <v>369</v>
      </c>
      <c r="E386" s="537">
        <f>COUNTIF($D$5:D386,D386)</f>
        <v>2</v>
      </c>
      <c r="F386" s="537" t="str">
        <f t="shared" si="10"/>
        <v>Richmond upon Thames2</v>
      </c>
      <c r="G386" s="541" t="str">
        <f t="shared" si="11"/>
        <v>NHS Hounslow CCG</v>
      </c>
      <c r="H386" s="546">
        <v>5.0791480837298064E-2</v>
      </c>
      <c r="I386" s="546">
        <v>7.1424152879092873E-2</v>
      </c>
      <c r="J386" s="384">
        <f>VLOOKUP($A386,'8.Non-elective admissions - CCG'!$D$5:$N$215,3,0)*$H386</f>
        <v>287.93690486664275</v>
      </c>
      <c r="K386" s="384">
        <f>VLOOKUP($A386,'8.Non-elective admissions - CCG'!$D$5:$N$215,4,0)*$H386</f>
        <v>286.87028376905948</v>
      </c>
      <c r="L386" s="384">
        <f>VLOOKUP($A386,'8.Non-elective admissions - CCG'!$D$5:$N$215,5,0)*$H386</f>
        <v>309.06616089495873</v>
      </c>
      <c r="M386" s="384">
        <f>VLOOKUP($A386,'8.Non-elective admissions - CCG'!$D$5:$N$215,6,0)*$H386</f>
        <v>306.57737833393111</v>
      </c>
      <c r="N386" s="384">
        <f>VLOOKUP($A386,'8.Non-elective admissions - CCG'!$D$5:$N$215,7,0)*$H386</f>
        <v>355.71557606297398</v>
      </c>
      <c r="O386" s="384">
        <f>VLOOKUP($A386,'8.Non-elective admissions - CCG'!$D$5:$N$215,8,0)*$H386</f>
        <v>358.05626607804697</v>
      </c>
      <c r="P386" s="384">
        <f>VLOOKUP($A386,'8.Non-elective admissions - CCG'!$D$5:$N$215,9,0)*$H386</f>
        <v>358.29050011712565</v>
      </c>
      <c r="Q386" s="384">
        <f>VLOOKUP($A386,'8.Non-elective admissions - CCG'!$D$5:$N$215,10,0)*$H386</f>
        <v>351.37684197306766</v>
      </c>
      <c r="R386" s="384">
        <f>VLOOKUP($A386,'8.Non-elective admissions - CCG'!$D$5:$Q$215,11,0)*$H386</f>
        <v>352.51462843356603</v>
      </c>
      <c r="S386" s="384">
        <f>VLOOKUP($A386,'8.Non-elective admissions - CCG'!$D$5:$Q$215,12,0)*$H386</f>
        <v>355.06060476850996</v>
      </c>
      <c r="T386" s="384">
        <f>VLOOKUP($A386,'8.Non-elective admissions - CCG'!$D$5:$Q$215,13,0)*$H386</f>
        <v>355.24654448736709</v>
      </c>
      <c r="U386" s="384">
        <f>VLOOKUP($A386,'8.Non-elective admissions - CCG'!$D$5:$Q$215,14,0)*$H386</f>
        <v>348.39420971095615</v>
      </c>
    </row>
    <row r="387" spans="1:21">
      <c r="A387" s="395" t="s">
        <v>314</v>
      </c>
      <c r="B387" s="395" t="s">
        <v>313</v>
      </c>
      <c r="C387" s="395" t="s">
        <v>775</v>
      </c>
      <c r="D387" s="395" t="s">
        <v>441</v>
      </c>
      <c r="E387" s="537">
        <f>COUNTIF($D$5:D387,D387)</f>
        <v>9</v>
      </c>
      <c r="F387" s="537" t="str">
        <f t="shared" si="10"/>
        <v>Surrey9</v>
      </c>
      <c r="G387" s="541" t="str">
        <f t="shared" si="11"/>
        <v>NHS Hounslow CCG</v>
      </c>
      <c r="H387" s="546">
        <v>5.2381886966114191E-3</v>
      </c>
      <c r="I387" s="546">
        <v>1.2765220546397619E-3</v>
      </c>
      <c r="J387" s="384">
        <f>VLOOKUP($A387,'8.Non-elective admissions - CCG'!$D$5:$N$215,3,0)*$H387</f>
        <v>29.695291721090136</v>
      </c>
      <c r="K387" s="384">
        <f>VLOOKUP($A387,'8.Non-elective admissions - CCG'!$D$5:$N$215,4,0)*$H387</f>
        <v>29.585289758461297</v>
      </c>
      <c r="L387" s="384">
        <f>VLOOKUP($A387,'8.Non-elective admissions - CCG'!$D$5:$N$215,5,0)*$H387</f>
        <v>31.874378218880484</v>
      </c>
      <c r="M387" s="384">
        <f>VLOOKUP($A387,'8.Non-elective admissions - CCG'!$D$5:$N$215,6,0)*$H387</f>
        <v>31.617706972746525</v>
      </c>
      <c r="N387" s="384">
        <f>VLOOKUP($A387,'8.Non-elective admissions - CCG'!$D$5:$N$215,7,0)*$H387</f>
        <v>36.68539052268379</v>
      </c>
      <c r="O387" s="384">
        <f>VLOOKUP($A387,'8.Non-elective admissions - CCG'!$D$5:$N$215,8,0)*$H387</f>
        <v>36.92678880005441</v>
      </c>
      <c r="P387" s="384">
        <f>VLOOKUP($A387,'8.Non-elective admissions - CCG'!$D$5:$N$215,9,0)*$H387</f>
        <v>36.95094564832182</v>
      </c>
      <c r="Q387" s="384">
        <f>VLOOKUP($A387,'8.Non-elective admissions - CCG'!$D$5:$N$215,10,0)*$H387</f>
        <v>36.237931470640156</v>
      </c>
      <c r="R387" s="384">
        <f>VLOOKUP($A387,'8.Non-elective admissions - CCG'!$D$5:$Q$215,11,0)*$H387</f>
        <v>36.355272805806806</v>
      </c>
      <c r="S387" s="384">
        <f>VLOOKUP($A387,'8.Non-elective admissions - CCG'!$D$5:$Q$215,12,0)*$H387</f>
        <v>36.617842517098822</v>
      </c>
      <c r="T387" s="384">
        <f>VLOOKUP($A387,'8.Non-elective admissions - CCG'!$D$5:$Q$215,13,0)*$H387</f>
        <v>36.63701871195498</v>
      </c>
      <c r="U387" s="384">
        <f>VLOOKUP($A387,'8.Non-elective admissions - CCG'!$D$5:$Q$215,14,0)*$H387</f>
        <v>35.930328889577623</v>
      </c>
    </row>
    <row r="388" spans="1:21">
      <c r="A388" s="395" t="s">
        <v>317</v>
      </c>
      <c r="B388" s="395" t="s">
        <v>316</v>
      </c>
      <c r="C388" s="395" t="s">
        <v>689</v>
      </c>
      <c r="D388" s="395" t="s">
        <v>169</v>
      </c>
      <c r="E388" s="537">
        <f>COUNTIF($D$5:D388,D388)</f>
        <v>2</v>
      </c>
      <c r="F388" s="537" t="str">
        <f t="shared" si="10"/>
        <v>East Riding of Yorkshire2</v>
      </c>
      <c r="G388" s="541" t="str">
        <f t="shared" si="11"/>
        <v>NHS Hull CCG</v>
      </c>
      <c r="H388" s="546">
        <v>9.3952083571460732E-2</v>
      </c>
      <c r="I388" s="546">
        <v>7.9025876786640345E-2</v>
      </c>
      <c r="J388" s="384">
        <f>VLOOKUP($A388,'8.Non-elective admissions - CCG'!$D$5:$N$215,3,0)*$H388</f>
        <v>750.48924356882833</v>
      </c>
      <c r="K388" s="384">
        <f>VLOOKUP($A388,'8.Non-elective admissions - CCG'!$D$5:$N$215,4,0)*$H388</f>
        <v>735.83271853168048</v>
      </c>
      <c r="L388" s="384">
        <f>VLOOKUP($A388,'8.Non-elective admissions - CCG'!$D$5:$N$215,5,0)*$H388</f>
        <v>760.73002067811751</v>
      </c>
      <c r="M388" s="384">
        <f>VLOOKUP($A388,'8.Non-elective admissions - CCG'!$D$5:$N$215,6,0)*$H388</f>
        <v>786.84869991098367</v>
      </c>
      <c r="N388" s="384">
        <f>VLOOKUP($A388,'8.Non-elective admissions - CCG'!$D$5:$N$215,7,0)*$H388</f>
        <v>768.76797471511213</v>
      </c>
      <c r="O388" s="384">
        <f>VLOOKUP($A388,'8.Non-elective admissions - CCG'!$D$5:$N$215,8,0)*$H388</f>
        <v>777.75372552781369</v>
      </c>
      <c r="P388" s="384">
        <f>VLOOKUP($A388,'8.Non-elective admissions - CCG'!$D$5:$N$215,9,0)*$H388</f>
        <v>777.52180443962811</v>
      </c>
      <c r="Q388" s="384">
        <f>VLOOKUP($A388,'8.Non-elective admissions - CCG'!$D$5:$N$215,10,0)*$H388</f>
        <v>760.70990824575733</v>
      </c>
      <c r="R388" s="384">
        <f>VLOOKUP($A388,'8.Non-elective admissions - CCG'!$D$5:$Q$215,11,0)*$H388</f>
        <v>774.29887945462883</v>
      </c>
      <c r="S388" s="384">
        <f>VLOOKUP($A388,'8.Non-elective admissions - CCG'!$D$5:$Q$215,12,0)*$H388</f>
        <v>783.34798241762394</v>
      </c>
      <c r="T388" s="384">
        <f>VLOOKUP($A388,'8.Non-elective admissions - CCG'!$D$5:$Q$215,13,0)*$H388</f>
        <v>783.11495165912447</v>
      </c>
      <c r="U388" s="384">
        <f>VLOOKUP($A388,'8.Non-elective admissions - CCG'!$D$5:$Q$215,14,0)*$H388</f>
        <v>774.53191021312841</v>
      </c>
    </row>
    <row r="389" spans="1:21">
      <c r="A389" s="395" t="s">
        <v>317</v>
      </c>
      <c r="B389" s="395" t="s">
        <v>316</v>
      </c>
      <c r="C389" s="395" t="s">
        <v>713</v>
      </c>
      <c r="D389" s="395" t="s">
        <v>255</v>
      </c>
      <c r="E389" s="537">
        <f>COUNTIF($D$5:D389,D389)</f>
        <v>2</v>
      </c>
      <c r="F389" s="537" t="str">
        <f t="shared" ref="F389:F452" si="12">D389&amp;E389</f>
        <v>Kingston upon Hull, City of2</v>
      </c>
      <c r="G389" s="541" t="str">
        <f t="shared" ref="G389:G452" si="13">B389</f>
        <v>NHS Hull CCG</v>
      </c>
      <c r="H389" s="546">
        <v>0.90604791642853921</v>
      </c>
      <c r="I389" s="546">
        <v>0.9851021683952067</v>
      </c>
      <c r="J389" s="384">
        <f>VLOOKUP($A389,'8.Non-elective admissions - CCG'!$D$5:$N$215,3,0)*$H389</f>
        <v>7237.5107564311711</v>
      </c>
      <c r="K389" s="384">
        <f>VLOOKUP($A389,'8.Non-elective admissions - CCG'!$D$5:$N$215,4,0)*$H389</f>
        <v>7096.1672814683188</v>
      </c>
      <c r="L389" s="384">
        <f>VLOOKUP($A389,'8.Non-elective admissions - CCG'!$D$5:$N$215,5,0)*$H389</f>
        <v>7336.2699793218817</v>
      </c>
      <c r="M389" s="384">
        <f>VLOOKUP($A389,'8.Non-elective admissions - CCG'!$D$5:$N$215,6,0)*$H389</f>
        <v>7588.1513000890163</v>
      </c>
      <c r="N389" s="384">
        <f>VLOOKUP($A389,'8.Non-elective admissions - CCG'!$D$5:$N$215,7,0)*$H389</f>
        <v>7413.785785578888</v>
      </c>
      <c r="O389" s="384">
        <f>VLOOKUP($A389,'8.Non-elective admissions - CCG'!$D$5:$N$215,8,0)*$H389</f>
        <v>7500.4418818771856</v>
      </c>
      <c r="P389" s="384">
        <f>VLOOKUP($A389,'8.Non-elective admissions - CCG'!$D$5:$N$215,9,0)*$H389</f>
        <v>7498.205299028371</v>
      </c>
      <c r="Q389" s="384">
        <f>VLOOKUP($A389,'8.Non-elective admissions - CCG'!$D$5:$N$215,10,0)*$H389</f>
        <v>7336.0760205852412</v>
      </c>
      <c r="R389" s="384">
        <f>VLOOKUP($A389,'8.Non-elective admissions - CCG'!$D$5:$Q$215,11,0)*$H389</f>
        <v>7467.12430160437</v>
      </c>
      <c r="S389" s="384">
        <f>VLOOKUP($A389,'8.Non-elective admissions - CCG'!$D$5:$Q$215,12,0)*$H389</f>
        <v>7554.3913485233752</v>
      </c>
      <c r="T389" s="384">
        <f>VLOOKUP($A389,'8.Non-elective admissions - CCG'!$D$5:$Q$215,13,0)*$H389</f>
        <v>7552.1440643208753</v>
      </c>
      <c r="U389" s="384">
        <f>VLOOKUP($A389,'8.Non-elective admissions - CCG'!$D$5:$Q$215,14,0)*$H389</f>
        <v>7469.3715858068717</v>
      </c>
    </row>
    <row r="390" spans="1:21">
      <c r="A390" s="395" t="s">
        <v>320</v>
      </c>
      <c r="B390" s="395" t="s">
        <v>319</v>
      </c>
      <c r="C390" s="395" t="s">
        <v>692</v>
      </c>
      <c r="D390" s="395" t="s">
        <v>180</v>
      </c>
      <c r="E390" s="537">
        <f>COUNTIF($D$5:D390,D390)</f>
        <v>6</v>
      </c>
      <c r="F390" s="537" t="str">
        <f t="shared" si="12"/>
        <v>Essex6</v>
      </c>
      <c r="G390" s="541" t="str">
        <f t="shared" si="13"/>
        <v>NHS Ipswich and East Suffolk CCG</v>
      </c>
      <c r="H390" s="546">
        <v>2.5701342800205614E-3</v>
      </c>
      <c r="I390" s="546">
        <v>0</v>
      </c>
      <c r="J390" s="384">
        <f>VLOOKUP($A390,'8.Non-elective admissions - CCG'!$D$5:$N$215,3,0)*$H390</f>
        <v>20.974865859247803</v>
      </c>
      <c r="K390" s="384">
        <f>VLOOKUP($A390,'8.Non-elective admissions - CCG'!$D$5:$N$215,4,0)*$H390</f>
        <v>20.823227936726589</v>
      </c>
      <c r="L390" s="384">
        <f>VLOOKUP($A390,'8.Non-elective admissions - CCG'!$D$5:$N$215,5,0)*$H390</f>
        <v>23.444764902347561</v>
      </c>
      <c r="M390" s="384">
        <f>VLOOKUP($A390,'8.Non-elective admissions - CCG'!$D$5:$N$215,6,0)*$H390</f>
        <v>23.460185708027684</v>
      </c>
      <c r="N390" s="384">
        <f>VLOOKUP($A390,'8.Non-elective admissions - CCG'!$D$5:$N$215,7,0)*$H390</f>
        <v>20.386305109123093</v>
      </c>
      <c r="O390" s="384">
        <f>VLOOKUP($A390,'8.Non-elective admissions - CCG'!$D$5:$N$215,8,0)*$H390</f>
        <v>20.609906791484882</v>
      </c>
      <c r="P390" s="384">
        <f>VLOOKUP($A390,'8.Non-elective admissions - CCG'!$D$5:$N$215,9,0)*$H390</f>
        <v>20.609906791484882</v>
      </c>
      <c r="Q390" s="384">
        <f>VLOOKUP($A390,'8.Non-elective admissions - CCG'!$D$5:$N$215,10,0)*$H390</f>
        <v>20.162703426761304</v>
      </c>
      <c r="R390" s="384">
        <f>VLOOKUP($A390,'8.Non-elective admissions - CCG'!$D$5:$Q$215,11,0)*$H390</f>
        <v>18.779971184110241</v>
      </c>
      <c r="S390" s="384">
        <f>VLOOKUP($A390,'8.Non-elective admissions - CCG'!$D$5:$Q$215,12,0)*$H390</f>
        <v>18.985581926511887</v>
      </c>
      <c r="T390" s="384">
        <f>VLOOKUP($A390,'8.Non-elective admissions - CCG'!$D$5:$Q$215,13,0)*$H390</f>
        <v>18.985581926511887</v>
      </c>
      <c r="U390" s="384">
        <f>VLOOKUP($A390,'8.Non-elective admissions - CCG'!$D$5:$Q$215,14,0)*$H390</f>
        <v>18.571790307428575</v>
      </c>
    </row>
    <row r="391" spans="1:21">
      <c r="A391" s="395" t="s">
        <v>320</v>
      </c>
      <c r="B391" s="395" t="s">
        <v>319</v>
      </c>
      <c r="C391" s="395" t="s">
        <v>733</v>
      </c>
      <c r="D391" s="395" t="s">
        <v>315</v>
      </c>
      <c r="E391" s="537">
        <f>COUNTIF($D$5:D391,D391)</f>
        <v>3</v>
      </c>
      <c r="F391" s="537" t="str">
        <f t="shared" si="12"/>
        <v>Norfolk3</v>
      </c>
      <c r="G391" s="541" t="str">
        <f t="shared" si="13"/>
        <v>NHS Ipswich and East Suffolk CCG</v>
      </c>
      <c r="H391" s="546">
        <v>1.3344441040106757E-3</v>
      </c>
      <c r="I391" s="546">
        <v>0</v>
      </c>
      <c r="J391" s="384">
        <f>VLOOKUP($A391,'8.Non-elective admissions - CCG'!$D$5:$N$215,3,0)*$H391</f>
        <v>10.890398332831124</v>
      </c>
      <c r="K391" s="384">
        <f>VLOOKUP($A391,'8.Non-elective admissions - CCG'!$D$5:$N$215,4,0)*$H391</f>
        <v>10.811666130694494</v>
      </c>
      <c r="L391" s="384">
        <f>VLOOKUP($A391,'8.Non-elective admissions - CCG'!$D$5:$N$215,5,0)*$H391</f>
        <v>12.172799116785383</v>
      </c>
      <c r="M391" s="384">
        <f>VLOOKUP($A391,'8.Non-elective admissions - CCG'!$D$5:$N$215,6,0)*$H391</f>
        <v>12.180805781409447</v>
      </c>
      <c r="N391" s="384">
        <f>VLOOKUP($A391,'8.Non-elective admissions - CCG'!$D$5:$N$215,7,0)*$H391</f>
        <v>10.58481063301268</v>
      </c>
      <c r="O391" s="384">
        <f>VLOOKUP($A391,'8.Non-elective admissions - CCG'!$D$5:$N$215,8,0)*$H391</f>
        <v>10.700907270061608</v>
      </c>
      <c r="P391" s="384">
        <f>VLOOKUP($A391,'8.Non-elective admissions - CCG'!$D$5:$N$215,9,0)*$H391</f>
        <v>10.700907270061608</v>
      </c>
      <c r="Q391" s="384">
        <f>VLOOKUP($A391,'8.Non-elective admissions - CCG'!$D$5:$N$215,10,0)*$H391</f>
        <v>10.46871399596375</v>
      </c>
      <c r="R391" s="384">
        <f>VLOOKUP($A391,'8.Non-elective admissions - CCG'!$D$5:$Q$215,11,0)*$H391</f>
        <v>9.7507830680060064</v>
      </c>
      <c r="S391" s="384">
        <f>VLOOKUP($A391,'8.Non-elective admissions - CCG'!$D$5:$Q$215,12,0)*$H391</f>
        <v>9.8575385963268616</v>
      </c>
      <c r="T391" s="384">
        <f>VLOOKUP($A391,'8.Non-elective admissions - CCG'!$D$5:$Q$215,13,0)*$H391</f>
        <v>9.8575385963268616</v>
      </c>
      <c r="U391" s="384">
        <f>VLOOKUP($A391,'8.Non-elective admissions - CCG'!$D$5:$Q$215,14,0)*$H391</f>
        <v>9.6426930955811425</v>
      </c>
    </row>
    <row r="392" spans="1:21">
      <c r="A392" s="395" t="s">
        <v>320</v>
      </c>
      <c r="B392" s="395" t="s">
        <v>319</v>
      </c>
      <c r="C392" s="395" t="s">
        <v>773</v>
      </c>
      <c r="D392" s="395" t="s">
        <v>435</v>
      </c>
      <c r="E392" s="537">
        <f>COUNTIF($D$5:D392,D392)</f>
        <v>3</v>
      </c>
      <c r="F392" s="537" t="str">
        <f t="shared" si="12"/>
        <v>Suffolk3</v>
      </c>
      <c r="G392" s="541" t="str">
        <f t="shared" si="13"/>
        <v>NHS Ipswich and East Suffolk CCG</v>
      </c>
      <c r="H392" s="546">
        <v>0.99609542161596887</v>
      </c>
      <c r="I392" s="546">
        <v>0.52764871259717883</v>
      </c>
      <c r="J392" s="384">
        <f>VLOOKUP($A392,'8.Non-elective admissions - CCG'!$D$5:$N$215,3,0)*$H392</f>
        <v>8129.134735807922</v>
      </c>
      <c r="K392" s="384">
        <f>VLOOKUP($A392,'8.Non-elective admissions - CCG'!$D$5:$N$215,4,0)*$H392</f>
        <v>8070.3651059325794</v>
      </c>
      <c r="L392" s="384">
        <f>VLOOKUP($A392,'8.Non-elective admissions - CCG'!$D$5:$N$215,5,0)*$H392</f>
        <v>9086.3824359808677</v>
      </c>
      <c r="M392" s="384">
        <f>VLOOKUP($A392,'8.Non-elective admissions - CCG'!$D$5:$N$215,6,0)*$H392</f>
        <v>9092.3590085105643</v>
      </c>
      <c r="N392" s="384">
        <f>VLOOKUP($A392,'8.Non-elective admissions - CCG'!$D$5:$N$215,7,0)*$H392</f>
        <v>7901.0288842578648</v>
      </c>
      <c r="O392" s="384">
        <f>VLOOKUP($A392,'8.Non-elective admissions - CCG'!$D$5:$N$215,8,0)*$H392</f>
        <v>7987.6891859384541</v>
      </c>
      <c r="P392" s="384">
        <f>VLOOKUP($A392,'8.Non-elective admissions - CCG'!$D$5:$N$215,9,0)*$H392</f>
        <v>7987.6891859384541</v>
      </c>
      <c r="Q392" s="384">
        <f>VLOOKUP($A392,'8.Non-elective admissions - CCG'!$D$5:$N$215,10,0)*$H392</f>
        <v>7814.3685825772754</v>
      </c>
      <c r="R392" s="384">
        <f>VLOOKUP($A392,'8.Non-elective admissions - CCG'!$D$5:$Q$215,11,0)*$H392</f>
        <v>7278.4692457478841</v>
      </c>
      <c r="S392" s="384">
        <f>VLOOKUP($A392,'8.Non-elective admissions - CCG'!$D$5:$Q$215,12,0)*$H392</f>
        <v>7358.156879477162</v>
      </c>
      <c r="T392" s="384">
        <f>VLOOKUP($A392,'8.Non-elective admissions - CCG'!$D$5:$Q$215,13,0)*$H392</f>
        <v>7358.156879477162</v>
      </c>
      <c r="U392" s="384">
        <f>VLOOKUP($A392,'8.Non-elective admissions - CCG'!$D$5:$Q$215,14,0)*$H392</f>
        <v>7197.7855165969913</v>
      </c>
    </row>
    <row r="393" spans="1:21">
      <c r="A393" s="395" t="s">
        <v>323</v>
      </c>
      <c r="B393" s="395" t="s">
        <v>322</v>
      </c>
      <c r="C393" s="395" t="s">
        <v>708</v>
      </c>
      <c r="D393" s="395" t="s">
        <v>238</v>
      </c>
      <c r="E393" s="537">
        <f>COUNTIF($D$5:D393,D393)</f>
        <v>1</v>
      </c>
      <c r="F393" s="537" t="str">
        <f t="shared" si="12"/>
        <v>Isle of Wight1</v>
      </c>
      <c r="G393" s="541" t="str">
        <f t="shared" si="13"/>
        <v>NHS Isle of Wight CCG</v>
      </c>
      <c r="H393" s="546">
        <v>1</v>
      </c>
      <c r="I393" s="546">
        <v>0.99999999999999989</v>
      </c>
      <c r="J393" s="384">
        <f>VLOOKUP($A393,'8.Non-elective admissions - CCG'!$D$5:$N$215,3,0)*$H393</f>
        <v>3003</v>
      </c>
      <c r="K393" s="384">
        <f>VLOOKUP($A393,'8.Non-elective admissions - CCG'!$D$5:$N$215,4,0)*$H393</f>
        <v>2869</v>
      </c>
      <c r="L393" s="384">
        <f>VLOOKUP($A393,'8.Non-elective admissions - CCG'!$D$5:$N$215,5,0)*$H393</f>
        <v>3165</v>
      </c>
      <c r="M393" s="384">
        <f>VLOOKUP($A393,'8.Non-elective admissions - CCG'!$D$5:$N$215,6,0)*$H393</f>
        <v>2819</v>
      </c>
      <c r="N393" s="384">
        <f>VLOOKUP($A393,'8.Non-elective admissions - CCG'!$D$5:$N$215,7,0)*$H393</f>
        <v>3090</v>
      </c>
      <c r="O393" s="384">
        <f>VLOOKUP($A393,'8.Non-elective admissions - CCG'!$D$5:$N$215,8,0)*$H393</f>
        <v>3081</v>
      </c>
      <c r="P393" s="384">
        <f>VLOOKUP($A393,'8.Non-elective admissions - CCG'!$D$5:$N$215,9,0)*$H393</f>
        <v>3073</v>
      </c>
      <c r="Q393" s="384">
        <f>VLOOKUP($A393,'8.Non-elective admissions - CCG'!$D$5:$N$215,10,0)*$H393</f>
        <v>3063</v>
      </c>
      <c r="R393" s="384">
        <f>VLOOKUP($A393,'8.Non-elective admissions - CCG'!$D$5:$Q$215,11,0)*$H393</f>
        <v>3139</v>
      </c>
      <c r="S393" s="384">
        <f>VLOOKUP($A393,'8.Non-elective admissions - CCG'!$D$5:$Q$215,12,0)*$H393</f>
        <v>3128</v>
      </c>
      <c r="T393" s="384">
        <f>VLOOKUP($A393,'8.Non-elective admissions - CCG'!$D$5:$Q$215,13,0)*$H393</f>
        <v>3119</v>
      </c>
      <c r="U393" s="384">
        <f>VLOOKUP($A393,'8.Non-elective admissions - CCG'!$D$5:$Q$215,14,0)*$H393</f>
        <v>3112</v>
      </c>
    </row>
    <row r="394" spans="1:21">
      <c r="A394" s="395" t="s">
        <v>326</v>
      </c>
      <c r="B394" s="395" t="s">
        <v>325</v>
      </c>
      <c r="C394" s="395" t="s">
        <v>651</v>
      </c>
      <c r="D394" s="395" t="s">
        <v>16</v>
      </c>
      <c r="E394" s="537">
        <f>COUNTIF($D$5:D394,D394)</f>
        <v>8</v>
      </c>
      <c r="F394" s="537" t="str">
        <f t="shared" si="12"/>
        <v>Barnet8</v>
      </c>
      <c r="G394" s="541" t="str">
        <f t="shared" si="13"/>
        <v>NHS Islington CCG</v>
      </c>
      <c r="H394" s="546">
        <v>1.4492121000480162E-3</v>
      </c>
      <c r="I394" s="546">
        <v>0</v>
      </c>
      <c r="J394" s="384">
        <f>VLOOKUP($A394,'8.Non-elective admissions - CCG'!$D$5:$N$215,3,0)*$H394</f>
        <v>7.119979047535903</v>
      </c>
      <c r="K394" s="384">
        <f>VLOOKUP($A394,'8.Non-elective admissions - CCG'!$D$5:$N$215,4,0)*$H394</f>
        <v>6.2026277882055094</v>
      </c>
      <c r="L394" s="384">
        <f>VLOOKUP($A394,'8.Non-elective admissions - CCG'!$D$5:$N$215,5,0)*$H394</f>
        <v>4.0751844253350216</v>
      </c>
      <c r="M394" s="384">
        <f>VLOOKUP($A394,'8.Non-elective admissions - CCG'!$D$5:$N$215,6,0)*$H394</f>
        <v>4.1635863634379504</v>
      </c>
      <c r="N394" s="384">
        <f>VLOOKUP($A394,'8.Non-elective admissions - CCG'!$D$5:$N$215,7,0)*$H394</f>
        <v>7.0632402200008739</v>
      </c>
      <c r="O394" s="384">
        <f>VLOOKUP($A394,'8.Non-elective admissions - CCG'!$D$5:$N$215,8,0)*$H394</f>
        <v>7.3140331930657823</v>
      </c>
      <c r="P394" s="384">
        <f>VLOOKUP($A394,'8.Non-elective admissions - CCG'!$D$5:$N$215,9,0)*$H394</f>
        <v>7.5630867038313339</v>
      </c>
      <c r="Q394" s="384">
        <f>VLOOKUP($A394,'8.Non-elective admissions - CCG'!$D$5:$N$215,10,0)*$H394</f>
        <v>7.6938473101465803</v>
      </c>
      <c r="R394" s="384">
        <f>VLOOKUP($A394,'8.Non-elective admissions - CCG'!$D$5:$Q$215,11,0)*$H394</f>
        <v>6.9574895439303335</v>
      </c>
      <c r="S394" s="384">
        <f>VLOOKUP($A394,'8.Non-elective admissions - CCG'!$D$5:$Q$215,12,0)*$H394</f>
        <v>7.2029684765915585</v>
      </c>
      <c r="T394" s="384">
        <f>VLOOKUP($A394,'8.Non-elective admissions - CCG'!$D$5:$Q$215,13,0)*$H394</f>
        <v>7.4481616579585328</v>
      </c>
      <c r="U394" s="384">
        <f>VLOOKUP($A394,'8.Non-elective admissions - CCG'!$D$5:$Q$215,14,0)*$H394</f>
        <v>7.5768730120918422</v>
      </c>
    </row>
    <row r="395" spans="1:21">
      <c r="A395" s="395" t="s">
        <v>326</v>
      </c>
      <c r="B395" s="395" t="s">
        <v>325</v>
      </c>
      <c r="C395" s="395" t="s">
        <v>671</v>
      </c>
      <c r="D395" s="395" t="s">
        <v>102</v>
      </c>
      <c r="E395" s="537">
        <f>COUNTIF($D$5:D395,D395)</f>
        <v>6</v>
      </c>
      <c r="F395" s="537" t="str">
        <f t="shared" si="12"/>
        <v>Camden6</v>
      </c>
      <c r="G395" s="541" t="str">
        <f t="shared" si="13"/>
        <v>NHS Islington CCG</v>
      </c>
      <c r="H395" s="546">
        <v>3.2345366449866866E-2</v>
      </c>
      <c r="I395" s="546">
        <v>3.0316047867443997E-2</v>
      </c>
      <c r="J395" s="384">
        <f>VLOOKUP($A395,'8.Non-elective admissions - CCG'!$D$5:$N$215,3,0)*$H395</f>
        <v>158.91278536819593</v>
      </c>
      <c r="K395" s="384">
        <f>VLOOKUP($A395,'8.Non-elective admissions - CCG'!$D$5:$N$215,4,0)*$H395</f>
        <v>138.43816840543019</v>
      </c>
      <c r="L395" s="384">
        <f>VLOOKUP($A395,'8.Non-elective admissions - CCG'!$D$5:$N$215,5,0)*$H395</f>
        <v>90.955170457025631</v>
      </c>
      <c r="M395" s="384">
        <f>VLOOKUP($A395,'8.Non-elective admissions - CCG'!$D$5:$N$215,6,0)*$H395</f>
        <v>92.928237810467508</v>
      </c>
      <c r="N395" s="384">
        <f>VLOOKUP($A395,'8.Non-elective admissions - CCG'!$D$5:$N$215,7,0)*$H395</f>
        <v>157.64641575363396</v>
      </c>
      <c r="O395" s="384">
        <f>VLOOKUP($A395,'8.Non-elective admissions - CCG'!$D$5:$N$215,8,0)*$H395</f>
        <v>163.24393361631761</v>
      </c>
      <c r="P395" s="384">
        <f>VLOOKUP($A395,'8.Non-elective admissions - CCG'!$D$5:$N$215,9,0)*$H395</f>
        <v>168.80262793792224</v>
      </c>
      <c r="Q395" s="384">
        <f>VLOOKUP($A395,'8.Non-elective admissions - CCG'!$D$5:$N$215,10,0)*$H395</f>
        <v>171.72111014513905</v>
      </c>
      <c r="R395" s="384">
        <f>VLOOKUP($A395,'8.Non-elective admissions - CCG'!$D$5:$Q$215,11,0)*$H395</f>
        <v>155.28613711001137</v>
      </c>
      <c r="S395" s="384">
        <f>VLOOKUP($A395,'8.Non-elective admissions - CCG'!$D$5:$Q$215,12,0)*$H395</f>
        <v>160.76504943235977</v>
      </c>
      <c r="T395" s="384">
        <f>VLOOKUP($A395,'8.Non-elective admissions - CCG'!$D$5:$Q$215,13,0)*$H395</f>
        <v>166.23758399238773</v>
      </c>
      <c r="U395" s="384">
        <f>VLOOKUP($A395,'8.Non-elective admissions - CCG'!$D$5:$Q$215,14,0)*$H395</f>
        <v>169.11032837229081</v>
      </c>
    </row>
    <row r="396" spans="1:21">
      <c r="A396" s="395" t="s">
        <v>326</v>
      </c>
      <c r="B396" s="395" t="s">
        <v>325</v>
      </c>
      <c r="C396" s="395" t="s">
        <v>675</v>
      </c>
      <c r="D396" s="395" t="s">
        <v>117</v>
      </c>
      <c r="E396" s="537">
        <f>COUNTIF($D$5:D396,D396)</f>
        <v>4</v>
      </c>
      <c r="F396" s="537" t="str">
        <f t="shared" si="12"/>
        <v>City of London4</v>
      </c>
      <c r="G396" s="541" t="str">
        <f t="shared" si="13"/>
        <v>NHS Islington CCG</v>
      </c>
      <c r="H396" s="546">
        <v>9.1230520756034757E-4</v>
      </c>
      <c r="I396" s="546">
        <v>2.8807718814610615E-2</v>
      </c>
      <c r="J396" s="384">
        <f>VLOOKUP($A396,'8.Non-elective admissions - CCG'!$D$5:$N$215,3,0)*$H396</f>
        <v>4.4821554847439877</v>
      </c>
      <c r="K396" s="384">
        <f>VLOOKUP($A396,'8.Non-elective admissions - CCG'!$D$5:$N$215,4,0)*$H396</f>
        <v>3.9046662883582877</v>
      </c>
      <c r="L396" s="384">
        <f>VLOOKUP($A396,'8.Non-elective admissions - CCG'!$D$5:$N$215,5,0)*$H396</f>
        <v>2.5654022436596975</v>
      </c>
      <c r="M396" s="384">
        <f>VLOOKUP($A396,'8.Non-elective admissions - CCG'!$D$5:$N$215,6,0)*$H396</f>
        <v>2.6210528613208788</v>
      </c>
      <c r="N396" s="384">
        <f>VLOOKUP($A396,'8.Non-elective admissions - CCG'!$D$5:$N$215,7,0)*$H396</f>
        <v>4.4464373674101889</v>
      </c>
      <c r="O396" s="384">
        <f>VLOOKUP($A396,'8.Non-elective admissions - CCG'!$D$5:$N$215,8,0)*$H396</f>
        <v>4.6043160763576765</v>
      </c>
      <c r="P396" s="384">
        <f>VLOOKUP($A396,'8.Non-elective admissions - CCG'!$D$5:$N$215,9,0)*$H396</f>
        <v>4.7610997623516527</v>
      </c>
      <c r="Q396" s="384">
        <f>VLOOKUP($A396,'8.Non-elective admissions - CCG'!$D$5:$N$215,10,0)*$H396</f>
        <v>4.8434159271705886</v>
      </c>
      <c r="R396" s="384">
        <f>VLOOKUP($A396,'8.Non-elective admissions - CCG'!$D$5:$Q$215,11,0)*$H396</f>
        <v>4.3798654056669877</v>
      </c>
      <c r="S396" s="384">
        <f>VLOOKUP($A396,'8.Non-elective admissions - CCG'!$D$5:$Q$215,12,0)*$H396</f>
        <v>4.5343988301434814</v>
      </c>
      <c r="T396" s="384">
        <f>VLOOKUP($A396,'8.Non-elective admissions - CCG'!$D$5:$Q$215,13,0)*$H396</f>
        <v>4.688752369016064</v>
      </c>
      <c r="U396" s="384">
        <f>VLOOKUP($A396,'8.Non-elective admissions - CCG'!$D$5:$Q$215,14,0)*$H396</f>
        <v>4.7697784925517928</v>
      </c>
    </row>
    <row r="397" spans="1:21">
      <c r="A397" s="395" t="s">
        <v>326</v>
      </c>
      <c r="B397" s="395" t="s">
        <v>325</v>
      </c>
      <c r="C397" s="395" t="s">
        <v>691</v>
      </c>
      <c r="D397" s="395" t="s">
        <v>176</v>
      </c>
      <c r="E397" s="537">
        <f>COUNTIF($D$5:D397,D397)</f>
        <v>7</v>
      </c>
      <c r="F397" s="537" t="str">
        <f t="shared" si="12"/>
        <v>Enfield7</v>
      </c>
      <c r="G397" s="541" t="str">
        <f t="shared" si="13"/>
        <v>NHS Islington CCG</v>
      </c>
      <c r="H397" s="546">
        <v>1.6936575145139467E-3</v>
      </c>
      <c r="I397" s="546">
        <v>1.1869036803191179E-3</v>
      </c>
      <c r="J397" s="384">
        <f>VLOOKUP($A397,'8.Non-elective admissions - CCG'!$D$5:$N$215,3,0)*$H397</f>
        <v>8.3209393688070197</v>
      </c>
      <c r="K397" s="384">
        <f>VLOOKUP($A397,'8.Non-elective admissions - CCG'!$D$5:$N$215,4,0)*$H397</f>
        <v>7.2488541621196925</v>
      </c>
      <c r="L397" s="384">
        <f>VLOOKUP($A397,'8.Non-elective admissions - CCG'!$D$5:$N$215,5,0)*$H397</f>
        <v>4.7625649308132179</v>
      </c>
      <c r="M397" s="384">
        <f>VLOOKUP($A397,'8.Non-elective admissions - CCG'!$D$5:$N$215,6,0)*$H397</f>
        <v>4.8658780391985692</v>
      </c>
      <c r="N397" s="384">
        <f>VLOOKUP($A397,'8.Non-elective admissions - CCG'!$D$5:$N$215,7,0)*$H397</f>
        <v>8.2546301366275276</v>
      </c>
      <c r="O397" s="384">
        <f>VLOOKUP($A397,'8.Non-elective admissions - CCG'!$D$5:$N$215,8,0)*$H397</f>
        <v>8.5477255388841069</v>
      </c>
      <c r="P397" s="384">
        <f>VLOOKUP($A397,'8.Non-elective admissions - CCG'!$D$5:$N$215,9,0)*$H397</f>
        <v>8.8387880755619204</v>
      </c>
      <c r="Q397" s="384">
        <f>VLOOKUP($A397,'8.Non-elective admissions - CCG'!$D$5:$N$215,10,0)*$H397</f>
        <v>8.9916046877616669</v>
      </c>
      <c r="R397" s="384">
        <f>VLOOKUP($A397,'8.Non-elective admissions - CCG'!$D$5:$Q$215,11,0)*$H397</f>
        <v>8.1310419971234023</v>
      </c>
      <c r="S397" s="384">
        <f>VLOOKUP($A397,'8.Non-elective admissions - CCG'!$D$5:$Q$215,12,0)*$H397</f>
        <v>8.4179270148118217</v>
      </c>
      <c r="T397" s="384">
        <f>VLOOKUP($A397,'8.Non-elective admissions - CCG'!$D$5:$Q$215,13,0)*$H397</f>
        <v>8.7044780821925016</v>
      </c>
      <c r="U397" s="384">
        <f>VLOOKUP($A397,'8.Non-elective admissions - CCG'!$D$5:$Q$215,14,0)*$H397</f>
        <v>8.8548997852157676</v>
      </c>
    </row>
    <row r="398" spans="1:21">
      <c r="A398" s="395" t="s">
        <v>326</v>
      </c>
      <c r="B398" s="395" t="s">
        <v>325</v>
      </c>
      <c r="C398" s="395" t="s">
        <v>696</v>
      </c>
      <c r="D398" s="395" t="s">
        <v>195</v>
      </c>
      <c r="E398" s="537">
        <f>COUNTIF($D$5:D398,D398)</f>
        <v>5</v>
      </c>
      <c r="F398" s="537" t="str">
        <f t="shared" si="12"/>
        <v>Hackney5</v>
      </c>
      <c r="G398" s="541" t="str">
        <f t="shared" si="13"/>
        <v>NHS Islington CCG</v>
      </c>
      <c r="H398" s="546">
        <v>3.9333886245580346E-2</v>
      </c>
      <c r="I398" s="546">
        <v>3.2602128129149435E-2</v>
      </c>
      <c r="J398" s="384">
        <f>VLOOKUP($A398,'8.Non-elective admissions - CCG'!$D$5:$N$215,3,0)*$H398</f>
        <v>193.24738312453624</v>
      </c>
      <c r="K398" s="384">
        <f>VLOOKUP($A398,'8.Non-elective admissions - CCG'!$D$5:$N$215,4,0)*$H398</f>
        <v>168.34903313108387</v>
      </c>
      <c r="L398" s="384">
        <f>VLOOKUP($A398,'8.Non-elective admissions - CCG'!$D$5:$N$215,5,0)*$H398</f>
        <v>110.60688812257193</v>
      </c>
      <c r="M398" s="384">
        <f>VLOOKUP($A398,'8.Non-elective admissions - CCG'!$D$5:$N$215,6,0)*$H398</f>
        <v>113.00625518355234</v>
      </c>
      <c r="N398" s="384">
        <f>VLOOKUP($A398,'8.Non-elective admissions - CCG'!$D$5:$N$215,7,0)*$H398</f>
        <v>191.7074024771924</v>
      </c>
      <c r="O398" s="384">
        <f>VLOOKUP($A398,'8.Non-elective admissions - CCG'!$D$5:$N$215,8,0)*$H398</f>
        <v>198.51431657444508</v>
      </c>
      <c r="P398" s="384">
        <f>VLOOKUP($A398,'8.Non-elective admissions - CCG'!$D$5:$N$215,9,0)*$H398</f>
        <v>205.27401894043419</v>
      </c>
      <c r="Q398" s="384">
        <f>VLOOKUP($A398,'8.Non-elective admissions - CCG'!$D$5:$N$215,10,0)*$H398</f>
        <v>208.82306660159892</v>
      </c>
      <c r="R398" s="384">
        <f>VLOOKUP($A398,'8.Non-elective admissions - CCG'!$D$5:$Q$215,11,0)*$H398</f>
        <v>188.83716349504891</v>
      </c>
      <c r="S398" s="384">
        <f>VLOOKUP($A398,'8.Non-elective admissions - CCG'!$D$5:$Q$215,12,0)*$H398</f>
        <v>195.49984621254981</v>
      </c>
      <c r="T398" s="384">
        <f>VLOOKUP($A398,'8.Non-elective admissions - CCG'!$D$5:$Q$215,13,0)*$H398</f>
        <v>202.15477319236248</v>
      </c>
      <c r="U398" s="384">
        <f>VLOOKUP($A398,'8.Non-elective admissions - CCG'!$D$5:$Q$215,14,0)*$H398</f>
        <v>205.64820093963735</v>
      </c>
    </row>
    <row r="399" spans="1:21">
      <c r="A399" s="395" t="s">
        <v>326</v>
      </c>
      <c r="B399" s="395" t="s">
        <v>325</v>
      </c>
      <c r="C399" s="395" t="s">
        <v>700</v>
      </c>
      <c r="D399" s="395" t="s">
        <v>209</v>
      </c>
      <c r="E399" s="537">
        <f>COUNTIF($D$5:D399,D399)</f>
        <v>6</v>
      </c>
      <c r="F399" s="537" t="str">
        <f t="shared" si="12"/>
        <v>Haringey6</v>
      </c>
      <c r="G399" s="541" t="str">
        <f t="shared" si="13"/>
        <v>NHS Islington CCG</v>
      </c>
      <c r="H399" s="546">
        <v>2.2964773669736788E-2</v>
      </c>
      <c r="I399" s="546">
        <v>1.9288301632228073E-2</v>
      </c>
      <c r="J399" s="384">
        <f>VLOOKUP($A399,'8.Non-elective admissions - CCG'!$D$5:$N$215,3,0)*$H399</f>
        <v>112.82593303941684</v>
      </c>
      <c r="K399" s="384">
        <f>VLOOKUP($A399,'8.Non-elective admissions - CCG'!$D$5:$N$215,4,0)*$H399</f>
        <v>98.289231306473454</v>
      </c>
      <c r="L399" s="384">
        <f>VLOOKUP($A399,'8.Non-elective admissions - CCG'!$D$5:$N$215,5,0)*$H399</f>
        <v>64.576943559299849</v>
      </c>
      <c r="M399" s="384">
        <f>VLOOKUP($A399,'8.Non-elective admissions - CCG'!$D$5:$N$215,6,0)*$H399</f>
        <v>65.977794753153788</v>
      </c>
      <c r="N399" s="384">
        <f>VLOOKUP($A399,'8.Non-elective admissions - CCG'!$D$5:$N$215,7,0)*$H399</f>
        <v>111.92682770308613</v>
      </c>
      <c r="O399" s="384">
        <f>VLOOKUP($A399,'8.Non-elective admissions - CCG'!$D$5:$N$215,8,0)*$H399</f>
        <v>115.9009898455394</v>
      </c>
      <c r="P399" s="384">
        <f>VLOOKUP($A399,'8.Non-elective admissions - CCG'!$D$5:$N$215,9,0)*$H399</f>
        <v>119.84758779776099</v>
      </c>
      <c r="Q399" s="384">
        <f>VLOOKUP($A399,'8.Non-elective admissions - CCG'!$D$5:$N$215,10,0)*$H399</f>
        <v>121.91967077916013</v>
      </c>
      <c r="R399" s="384">
        <f>VLOOKUP($A399,'8.Non-elective admissions - CCG'!$D$5:$Q$215,11,0)*$H399</f>
        <v>110.25106171872737</v>
      </c>
      <c r="S399" s="384">
        <f>VLOOKUP($A399,'8.Non-elective admissions - CCG'!$D$5:$Q$215,12,0)*$H399</f>
        <v>114.14101552815721</v>
      </c>
      <c r="T399" s="384">
        <f>VLOOKUP($A399,'8.Non-elective admissions - CCG'!$D$5:$Q$215,13,0)*$H399</f>
        <v>118.02644121240917</v>
      </c>
      <c r="U399" s="384">
        <f>VLOOKUP($A399,'8.Non-elective admissions - CCG'!$D$5:$Q$215,14,0)*$H399</f>
        <v>120.06605095366019</v>
      </c>
    </row>
    <row r="400" spans="1:21">
      <c r="A400" s="395" t="s">
        <v>326</v>
      </c>
      <c r="B400" s="395" t="s">
        <v>325</v>
      </c>
      <c r="C400" s="395" t="s">
        <v>710</v>
      </c>
      <c r="D400" s="395" t="s">
        <v>245</v>
      </c>
      <c r="E400" s="537">
        <f>COUNTIF($D$5:D400,D400)</f>
        <v>5</v>
      </c>
      <c r="F400" s="537" t="str">
        <f t="shared" si="12"/>
        <v>Islington5</v>
      </c>
      <c r="G400" s="541" t="str">
        <f t="shared" si="13"/>
        <v>NHS Islington CCG</v>
      </c>
      <c r="H400" s="546">
        <v>0.90130079881269376</v>
      </c>
      <c r="I400" s="546">
        <v>0.89001487101015098</v>
      </c>
      <c r="J400" s="384">
        <f>VLOOKUP($A400,'8.Non-elective admissions - CCG'!$D$5:$N$215,3,0)*$H400</f>
        <v>4428.0908245667642</v>
      </c>
      <c r="K400" s="384">
        <f>VLOOKUP($A400,'8.Non-elective admissions - CCG'!$D$5:$N$215,4,0)*$H400</f>
        <v>3857.5674189183292</v>
      </c>
      <c r="L400" s="384">
        <f>VLOOKUP($A400,'8.Non-elective admissions - CCG'!$D$5:$N$215,5,0)*$H400</f>
        <v>2534.4578462612949</v>
      </c>
      <c r="M400" s="384">
        <f>VLOOKUP($A400,'8.Non-elective admissions - CCG'!$D$5:$N$215,6,0)*$H400</f>
        <v>2589.4371949888691</v>
      </c>
      <c r="N400" s="384">
        <f>VLOOKUP($A400,'8.Non-elective admissions - CCG'!$D$5:$N$215,7,0)*$H400</f>
        <v>4392.8035463420492</v>
      </c>
      <c r="O400" s="384">
        <f>VLOOKUP($A400,'8.Non-elective admissions - CCG'!$D$5:$N$215,8,0)*$H400</f>
        <v>4548.7778905753903</v>
      </c>
      <c r="P400" s="384">
        <f>VLOOKUP($A400,'8.Non-elective admissions - CCG'!$D$5:$N$215,9,0)*$H400</f>
        <v>4703.6704202421388</v>
      </c>
      <c r="Q400" s="384">
        <f>VLOOKUP($A400,'8.Non-elective admissions - CCG'!$D$5:$N$215,10,0)*$H400</f>
        <v>4784.9936709390231</v>
      </c>
      <c r="R400" s="384">
        <f>VLOOKUP($A400,'8.Non-elective admissions - CCG'!$D$5:$Q$215,11,0)*$H400</f>
        <v>4327.0345889794917</v>
      </c>
      <c r="S400" s="384">
        <f>VLOOKUP($A400,'8.Non-elective admissions - CCG'!$D$5:$Q$215,12,0)*$H400</f>
        <v>4479.704000235387</v>
      </c>
      <c r="T400" s="384">
        <f>VLOOKUP($A400,'8.Non-elective admissions - CCG'!$D$5:$Q$215,13,0)*$H400</f>
        <v>4632.1956957036746</v>
      </c>
      <c r="U400" s="384">
        <f>VLOOKUP($A400,'8.Non-elective admissions - CCG'!$D$5:$Q$215,14,0)*$H400</f>
        <v>4712.2444658545528</v>
      </c>
    </row>
    <row r="401" spans="1:21">
      <c r="A401" s="395" t="s">
        <v>329</v>
      </c>
      <c r="B401" s="395" t="s">
        <v>328</v>
      </c>
      <c r="C401" s="395" t="s">
        <v>676</v>
      </c>
      <c r="D401" s="395" t="s">
        <v>121</v>
      </c>
      <c r="E401" s="537">
        <f>COUNTIF($D$5:D401,D401)</f>
        <v>1</v>
      </c>
      <c r="F401" s="537" t="str">
        <f t="shared" si="12"/>
        <v>Cornwall1</v>
      </c>
      <c r="G401" s="541" t="str">
        <f t="shared" si="13"/>
        <v>NHS Kernow CCG</v>
      </c>
      <c r="H401" s="546">
        <v>0.99310224488633125</v>
      </c>
      <c r="I401" s="546">
        <v>0.99458092678812482</v>
      </c>
      <c r="J401" s="384">
        <f>VLOOKUP($A401,'8.Non-elective admissions - CCG'!$D$5:$N$215,3,0)*$H401</f>
        <v>12997.722181072304</v>
      </c>
      <c r="K401" s="384">
        <f>VLOOKUP($A401,'8.Non-elective admissions - CCG'!$D$5:$N$215,4,0)*$H401</f>
        <v>12732.563881687653</v>
      </c>
      <c r="L401" s="384">
        <f>VLOOKUP($A401,'8.Non-elective admissions - CCG'!$D$5:$N$215,5,0)*$H401</f>
        <v>13714.742001880235</v>
      </c>
      <c r="M401" s="384">
        <f>VLOOKUP($A401,'8.Non-elective admissions - CCG'!$D$5:$N$215,6,0)*$H401</f>
        <v>13552.866335963763</v>
      </c>
      <c r="N401" s="384">
        <f>VLOOKUP($A401,'8.Non-elective admissions - CCG'!$D$5:$N$215,7,0)*$H401</f>
        <v>11410.744793743947</v>
      </c>
      <c r="O401" s="384">
        <f>VLOOKUP($A401,'8.Non-elective admissions - CCG'!$D$5:$N$215,8,0)*$H401</f>
        <v>11355.131068030312</v>
      </c>
      <c r="P401" s="384">
        <f>VLOOKUP($A401,'8.Non-elective admissions - CCG'!$D$5:$N$215,9,0)*$H401</f>
        <v>11893.392484758702</v>
      </c>
      <c r="Q401" s="384">
        <f>VLOOKUP($A401,'8.Non-elective admissions - CCG'!$D$5:$N$215,10,0)*$H401</f>
        <v>11789.116749045639</v>
      </c>
      <c r="R401" s="384">
        <f>VLOOKUP($A401,'8.Non-elective admissions - CCG'!$D$5:$Q$215,11,0)*$H401</f>
        <v>10118.718773146829</v>
      </c>
      <c r="S401" s="384">
        <f>VLOOKUP($A401,'8.Non-elective admissions - CCG'!$D$5:$Q$215,12,0)*$H401</f>
        <v>10078.994683351375</v>
      </c>
      <c r="T401" s="384">
        <f>VLOOKUP($A401,'8.Non-elective admissions - CCG'!$D$5:$Q$215,13,0)*$H401</f>
        <v>10572.566499059883</v>
      </c>
      <c r="U401" s="384">
        <f>VLOOKUP($A401,'8.Non-elective admissions - CCG'!$D$5:$Q$215,14,0)*$H401</f>
        <v>10446.442513959319</v>
      </c>
    </row>
    <row r="402" spans="1:21">
      <c r="A402" s="395" t="s">
        <v>329</v>
      </c>
      <c r="B402" s="395" t="s">
        <v>328</v>
      </c>
      <c r="C402" s="395" t="s">
        <v>684</v>
      </c>
      <c r="D402" s="395" t="s">
        <v>150</v>
      </c>
      <c r="E402" s="537">
        <f>COUNTIF($D$5:D402,D402)</f>
        <v>2</v>
      </c>
      <c r="F402" s="537" t="str">
        <f t="shared" si="12"/>
        <v>Devon2</v>
      </c>
      <c r="G402" s="541" t="str">
        <f t="shared" si="13"/>
        <v>NHS Kernow CCG</v>
      </c>
      <c r="H402" s="546">
        <v>2.7348869010312801E-3</v>
      </c>
      <c r="I402" s="546">
        <v>1.9530331138290257E-3</v>
      </c>
      <c r="J402" s="384">
        <f>VLOOKUP($A402,'8.Non-elective admissions - CCG'!$D$5:$N$215,3,0)*$H402</f>
        <v>35.794199760697396</v>
      </c>
      <c r="K402" s="384">
        <f>VLOOKUP($A402,'8.Non-elective admissions - CCG'!$D$5:$N$215,4,0)*$H402</f>
        <v>35.063984958122042</v>
      </c>
      <c r="L402" s="384">
        <f>VLOOKUP($A402,'8.Non-elective admissions - CCG'!$D$5:$N$215,5,0)*$H402</f>
        <v>37.768788103241981</v>
      </c>
      <c r="M402" s="384">
        <f>VLOOKUP($A402,'8.Non-elective admissions - CCG'!$D$5:$N$215,6,0)*$H402</f>
        <v>37.32300153837388</v>
      </c>
      <c r="N402" s="384">
        <f>VLOOKUP($A402,'8.Non-elective admissions - CCG'!$D$5:$N$215,7,0)*$H402</f>
        <v>31.423850492849407</v>
      </c>
      <c r="O402" s="384">
        <f>VLOOKUP($A402,'8.Non-elective admissions - CCG'!$D$5:$N$215,8,0)*$H402</f>
        <v>31.270696826391656</v>
      </c>
      <c r="P402" s="384">
        <f>VLOOKUP($A402,'8.Non-elective admissions - CCG'!$D$5:$N$215,9,0)*$H402</f>
        <v>32.753005526750613</v>
      </c>
      <c r="Q402" s="384">
        <f>VLOOKUP($A402,'8.Non-elective admissions - CCG'!$D$5:$N$215,10,0)*$H402</f>
        <v>32.465842402142329</v>
      </c>
      <c r="R402" s="384">
        <f>VLOOKUP($A402,'8.Non-elective admissions - CCG'!$D$5:$Q$215,11,0)*$H402</f>
        <v>27.865762634607712</v>
      </c>
      <c r="S402" s="384">
        <f>VLOOKUP($A402,'8.Non-elective admissions - CCG'!$D$5:$Q$215,12,0)*$H402</f>
        <v>27.756367158566462</v>
      </c>
      <c r="T402" s="384">
        <f>VLOOKUP($A402,'8.Non-elective admissions - CCG'!$D$5:$Q$215,13,0)*$H402</f>
        <v>29.11560594837901</v>
      </c>
      <c r="U402" s="384">
        <f>VLOOKUP($A402,'8.Non-elective admissions - CCG'!$D$5:$Q$215,14,0)*$H402</f>
        <v>28.768275311948035</v>
      </c>
    </row>
    <row r="403" spans="1:21">
      <c r="A403" s="395" t="s">
        <v>329</v>
      </c>
      <c r="B403" s="395" t="s">
        <v>328</v>
      </c>
      <c r="C403" s="395" t="s">
        <v>709</v>
      </c>
      <c r="D403" s="395" t="s">
        <v>241</v>
      </c>
      <c r="E403" s="537">
        <f>COUNTIF($D$5:D403,D403)</f>
        <v>1</v>
      </c>
      <c r="F403" s="537" t="str">
        <f t="shared" si="12"/>
        <v>Isles of Scilly1</v>
      </c>
      <c r="G403" s="541" t="str">
        <f t="shared" si="13"/>
        <v>NHS Kernow CCG</v>
      </c>
      <c r="H403" s="546">
        <v>4.1628682126374564E-3</v>
      </c>
      <c r="I403" s="546">
        <v>1</v>
      </c>
      <c r="J403" s="384">
        <f>VLOOKUP($A403,'8.Non-elective admissions - CCG'!$D$5:$N$215,3,0)*$H403</f>
        <v>54.483619166999027</v>
      </c>
      <c r="K403" s="384">
        <f>VLOOKUP($A403,'8.Non-elective admissions - CCG'!$D$5:$N$215,4,0)*$H403</f>
        <v>53.372133354224829</v>
      </c>
      <c r="L403" s="384">
        <f>VLOOKUP($A403,'8.Non-elective admissions - CCG'!$D$5:$N$215,5,0)*$H403</f>
        <v>57.489210016523273</v>
      </c>
      <c r="M403" s="384">
        <f>VLOOKUP($A403,'8.Non-elective admissions - CCG'!$D$5:$N$215,6,0)*$H403</f>
        <v>56.810662497863369</v>
      </c>
      <c r="N403" s="384">
        <f>VLOOKUP($A403,'8.Non-elective admissions - CCG'!$D$5:$N$215,7,0)*$H403</f>
        <v>47.831355763204371</v>
      </c>
      <c r="O403" s="384">
        <f>VLOOKUP($A403,'8.Non-elective admissions - CCG'!$D$5:$N$215,8,0)*$H403</f>
        <v>47.598235143296677</v>
      </c>
      <c r="P403" s="384">
        <f>VLOOKUP($A403,'8.Non-elective admissions - CCG'!$D$5:$N$215,9,0)*$H403</f>
        <v>49.854509714546175</v>
      </c>
      <c r="Q403" s="384">
        <f>VLOOKUP($A403,'8.Non-elective admissions - CCG'!$D$5:$N$215,10,0)*$H403</f>
        <v>49.417408552219243</v>
      </c>
      <c r="R403" s="384">
        <f>VLOOKUP($A403,'8.Non-elective admissions - CCG'!$D$5:$Q$215,11,0)*$H403</f>
        <v>42.415464218563045</v>
      </c>
      <c r="S403" s="384">
        <f>VLOOKUP($A403,'8.Non-elective admissions - CCG'!$D$5:$Q$215,12,0)*$H403</f>
        <v>42.248949490057548</v>
      </c>
      <c r="T403" s="384">
        <f>VLOOKUP($A403,'8.Non-elective admissions - CCG'!$D$5:$Q$215,13,0)*$H403</f>
        <v>44.317894991738363</v>
      </c>
      <c r="U403" s="384">
        <f>VLOOKUP($A403,'8.Non-elective admissions - CCG'!$D$5:$Q$215,14,0)*$H403</f>
        <v>43.789210728733401</v>
      </c>
    </row>
    <row r="404" spans="1:21">
      <c r="A404" s="395" t="s">
        <v>332</v>
      </c>
      <c r="B404" s="395" t="s">
        <v>331</v>
      </c>
      <c r="C404" s="395" t="s">
        <v>714</v>
      </c>
      <c r="D404" s="395" t="s">
        <v>258</v>
      </c>
      <c r="E404" s="537">
        <f>COUNTIF($D$5:D404,D404)</f>
        <v>1</v>
      </c>
      <c r="F404" s="537" t="str">
        <f t="shared" si="12"/>
        <v>Kingston upon Thames1</v>
      </c>
      <c r="G404" s="541" t="str">
        <f t="shared" si="13"/>
        <v>NHS Kingston CCG</v>
      </c>
      <c r="H404" s="546">
        <v>0.87295670365280886</v>
      </c>
      <c r="I404" s="546">
        <v>0.95869066992516361</v>
      </c>
      <c r="J404" s="384">
        <f>VLOOKUP($A404,'8.Non-elective admissions - CCG'!$D$5:$N$215,3,0)*$H404</f>
        <v>2749.8136165063479</v>
      </c>
      <c r="K404" s="384">
        <f>VLOOKUP($A404,'8.Non-elective admissions - CCG'!$D$5:$N$215,4,0)*$H404</f>
        <v>2770.7645773940153</v>
      </c>
      <c r="L404" s="384">
        <f>VLOOKUP($A404,'8.Non-elective admissions - CCG'!$D$5:$N$215,5,0)*$H404</f>
        <v>2708.7846514346661</v>
      </c>
      <c r="M404" s="384">
        <f>VLOOKUP($A404,'8.Non-elective admissions - CCG'!$D$5:$N$215,6,0)*$H404</f>
        <v>2813.5394558730031</v>
      </c>
      <c r="N404" s="384">
        <f>VLOOKUP($A404,'8.Non-elective admissions - CCG'!$D$5:$N$215,7,0)*$H404</f>
        <v>2756.7972701355702</v>
      </c>
      <c r="O404" s="384">
        <f>VLOOKUP($A404,'8.Non-elective admissions - CCG'!$D$5:$N$215,8,0)*$H404</f>
        <v>2776.002317615932</v>
      </c>
      <c r="P404" s="384">
        <f>VLOOKUP($A404,'8.Non-elective admissions - CCG'!$D$5:$N$215,9,0)*$H404</f>
        <v>2711.4035215456242</v>
      </c>
      <c r="Q404" s="384">
        <f>VLOOKUP($A404,'8.Non-elective admissions - CCG'!$D$5:$N$215,10,0)*$H404</f>
        <v>2834.4904167606705</v>
      </c>
      <c r="R404" s="384">
        <f>VLOOKUP($A404,'8.Non-elective admissions - CCG'!$D$5:$Q$215,11,0)*$H404</f>
        <v>2689.5796039543043</v>
      </c>
      <c r="S404" s="384">
        <f>VLOOKUP($A404,'8.Non-elective admissions - CCG'!$D$5:$Q$215,12,0)*$H404</f>
        <v>2707.9116947310131</v>
      </c>
      <c r="T404" s="384">
        <f>VLOOKUP($A404,'8.Non-elective admissions - CCG'!$D$5:$Q$215,13,0)*$H404</f>
        <v>2644.1858553643578</v>
      </c>
      <c r="U404" s="384">
        <f>VLOOKUP($A404,'8.Non-elective admissions - CCG'!$D$5:$Q$215,14,0)*$H404</f>
        <v>2765.5268371720986</v>
      </c>
    </row>
    <row r="405" spans="1:21">
      <c r="A405" s="395" t="s">
        <v>332</v>
      </c>
      <c r="B405" s="395" t="s">
        <v>331</v>
      </c>
      <c r="C405" s="395" t="s">
        <v>728</v>
      </c>
      <c r="D405" s="395" t="s">
        <v>300</v>
      </c>
      <c r="E405" s="537">
        <f>COUNTIF($D$5:D405,D405)</f>
        <v>2</v>
      </c>
      <c r="F405" s="537" t="str">
        <f t="shared" si="12"/>
        <v>Merton2</v>
      </c>
      <c r="G405" s="541" t="str">
        <f t="shared" si="13"/>
        <v>NHS Kingston CCG</v>
      </c>
      <c r="H405" s="546">
        <v>3.5948684291486357E-2</v>
      </c>
      <c r="I405" s="546">
        <v>3.0496398371437517E-2</v>
      </c>
      <c r="J405" s="384">
        <f>VLOOKUP($A405,'8.Non-elective admissions - CCG'!$D$5:$N$215,3,0)*$H405</f>
        <v>113.23835551818203</v>
      </c>
      <c r="K405" s="384">
        <f>VLOOKUP($A405,'8.Non-elective admissions - CCG'!$D$5:$N$215,4,0)*$H405</f>
        <v>114.1011239411777</v>
      </c>
      <c r="L405" s="384">
        <f>VLOOKUP($A405,'8.Non-elective admissions - CCG'!$D$5:$N$215,5,0)*$H405</f>
        <v>111.54876735648217</v>
      </c>
      <c r="M405" s="384">
        <f>VLOOKUP($A405,'8.Non-elective admissions - CCG'!$D$5:$N$215,6,0)*$H405</f>
        <v>115.86260947146053</v>
      </c>
      <c r="N405" s="384">
        <f>VLOOKUP($A405,'8.Non-elective admissions - CCG'!$D$5:$N$215,7,0)*$H405</f>
        <v>113.52594499251391</v>
      </c>
      <c r="O405" s="384">
        <f>VLOOKUP($A405,'8.Non-elective admissions - CCG'!$D$5:$N$215,8,0)*$H405</f>
        <v>114.31681604692662</v>
      </c>
      <c r="P405" s="384">
        <f>VLOOKUP($A405,'8.Non-elective admissions - CCG'!$D$5:$N$215,9,0)*$H405</f>
        <v>111.65661340935662</v>
      </c>
      <c r="Q405" s="384">
        <f>VLOOKUP($A405,'8.Non-elective admissions - CCG'!$D$5:$N$215,10,0)*$H405</f>
        <v>116.7253778944562</v>
      </c>
      <c r="R405" s="384">
        <f>VLOOKUP($A405,'8.Non-elective admissions - CCG'!$D$5:$Q$215,11,0)*$H405</f>
        <v>110.75789630206947</v>
      </c>
      <c r="S405" s="384">
        <f>VLOOKUP($A405,'8.Non-elective admissions - CCG'!$D$5:$Q$215,12,0)*$H405</f>
        <v>111.51281867219068</v>
      </c>
      <c r="T405" s="384">
        <f>VLOOKUP($A405,'8.Non-elective admissions - CCG'!$D$5:$Q$215,13,0)*$H405</f>
        <v>108.88856471891218</v>
      </c>
      <c r="U405" s="384">
        <f>VLOOKUP($A405,'8.Non-elective admissions - CCG'!$D$5:$Q$215,14,0)*$H405</f>
        <v>113.88543183542878</v>
      </c>
    </row>
    <row r="406" spans="1:21">
      <c r="A406" s="395" t="s">
        <v>332</v>
      </c>
      <c r="B406" s="395" t="s">
        <v>331</v>
      </c>
      <c r="C406" s="395" t="s">
        <v>751</v>
      </c>
      <c r="D406" s="395" t="s">
        <v>369</v>
      </c>
      <c r="E406" s="537">
        <f>COUNTIF($D$5:D406,D406)</f>
        <v>3</v>
      </c>
      <c r="F406" s="537" t="str">
        <f t="shared" si="12"/>
        <v>Richmond upon Thames3</v>
      </c>
      <c r="G406" s="541" t="str">
        <f t="shared" si="13"/>
        <v>NHS Kingston CCG</v>
      </c>
      <c r="H406" s="546">
        <v>1.4280000820395022E-2</v>
      </c>
      <c r="I406" s="546">
        <v>1.325224955151723E-2</v>
      </c>
      <c r="J406" s="384">
        <f>VLOOKUP($A406,'8.Non-elective admissions - CCG'!$D$5:$N$215,3,0)*$H406</f>
        <v>44.98200258424432</v>
      </c>
      <c r="K406" s="384">
        <f>VLOOKUP($A406,'8.Non-elective admissions - CCG'!$D$5:$N$215,4,0)*$H406</f>
        <v>45.3247226039338</v>
      </c>
      <c r="L406" s="384">
        <f>VLOOKUP($A406,'8.Non-elective admissions - CCG'!$D$5:$N$215,5,0)*$H406</f>
        <v>44.310842545685752</v>
      </c>
      <c r="M406" s="384">
        <f>VLOOKUP($A406,'8.Non-elective admissions - CCG'!$D$5:$N$215,6,0)*$H406</f>
        <v>46.024442644133153</v>
      </c>
      <c r="N406" s="384">
        <f>VLOOKUP($A406,'8.Non-elective admissions - CCG'!$D$5:$N$215,7,0)*$H406</f>
        <v>45.096242590807478</v>
      </c>
      <c r="O406" s="384">
        <f>VLOOKUP($A406,'8.Non-elective admissions - CCG'!$D$5:$N$215,8,0)*$H406</f>
        <v>45.410402608856167</v>
      </c>
      <c r="P406" s="384">
        <f>VLOOKUP($A406,'8.Non-elective admissions - CCG'!$D$5:$N$215,9,0)*$H406</f>
        <v>44.353682548146935</v>
      </c>
      <c r="Q406" s="384">
        <f>VLOOKUP($A406,'8.Non-elective admissions - CCG'!$D$5:$N$215,10,0)*$H406</f>
        <v>46.36716266382264</v>
      </c>
      <c r="R406" s="384">
        <f>VLOOKUP($A406,'8.Non-elective admissions - CCG'!$D$5:$Q$215,11,0)*$H406</f>
        <v>43.996682527637063</v>
      </c>
      <c r="S406" s="384">
        <f>VLOOKUP($A406,'8.Non-elective admissions - CCG'!$D$5:$Q$215,12,0)*$H406</f>
        <v>44.29656254486536</v>
      </c>
      <c r="T406" s="384">
        <f>VLOOKUP($A406,'8.Non-elective admissions - CCG'!$D$5:$Q$215,13,0)*$H406</f>
        <v>43.25412248497652</v>
      </c>
      <c r="U406" s="384">
        <f>VLOOKUP($A406,'8.Non-elective admissions - CCG'!$D$5:$Q$215,14,0)*$H406</f>
        <v>45.239042599011427</v>
      </c>
    </row>
    <row r="407" spans="1:21">
      <c r="A407" s="395" t="s">
        <v>332</v>
      </c>
      <c r="B407" s="395" t="s">
        <v>331</v>
      </c>
      <c r="C407" s="395" t="s">
        <v>775</v>
      </c>
      <c r="D407" s="395" t="s">
        <v>441</v>
      </c>
      <c r="E407" s="537">
        <f>COUNTIF($D$5:D407,D407)</f>
        <v>10</v>
      </c>
      <c r="F407" s="537" t="str">
        <f t="shared" si="12"/>
        <v>Surrey10</v>
      </c>
      <c r="G407" s="541" t="str">
        <f t="shared" si="13"/>
        <v>NHS Kingston CCG</v>
      </c>
      <c r="H407" s="546">
        <v>4.3491191008470584E-2</v>
      </c>
      <c r="I407" s="546">
        <v>6.9944832477095995E-3</v>
      </c>
      <c r="J407" s="384">
        <f>VLOOKUP($A407,'8.Non-elective admissions - CCG'!$D$5:$N$215,3,0)*$H407</f>
        <v>136.99725167668234</v>
      </c>
      <c r="K407" s="384">
        <f>VLOOKUP($A407,'8.Non-elective admissions - CCG'!$D$5:$N$215,4,0)*$H407</f>
        <v>138.04104026088564</v>
      </c>
      <c r="L407" s="384">
        <f>VLOOKUP($A407,'8.Non-elective admissions - CCG'!$D$5:$N$215,5,0)*$H407</f>
        <v>134.95316569928423</v>
      </c>
      <c r="M407" s="384">
        <f>VLOOKUP($A407,'8.Non-elective admissions - CCG'!$D$5:$N$215,6,0)*$H407</f>
        <v>140.17210862030069</v>
      </c>
      <c r="N407" s="384">
        <f>VLOOKUP($A407,'8.Non-elective admissions - CCG'!$D$5:$N$215,7,0)*$H407</f>
        <v>137.34518120475011</v>
      </c>
      <c r="O407" s="384">
        <f>VLOOKUP($A407,'8.Non-elective admissions - CCG'!$D$5:$N$215,8,0)*$H407</f>
        <v>138.30198740693646</v>
      </c>
      <c r="P407" s="384">
        <f>VLOOKUP($A407,'8.Non-elective admissions - CCG'!$D$5:$N$215,9,0)*$H407</f>
        <v>135.08363927230963</v>
      </c>
      <c r="Q407" s="384">
        <f>VLOOKUP($A407,'8.Non-elective admissions - CCG'!$D$5:$N$215,10,0)*$H407</f>
        <v>141.21589720450399</v>
      </c>
      <c r="R407" s="384">
        <f>VLOOKUP($A407,'8.Non-elective admissions - CCG'!$D$5:$Q$215,11,0)*$H407</f>
        <v>133.99635949709787</v>
      </c>
      <c r="S407" s="384">
        <f>VLOOKUP($A407,'8.Non-elective admissions - CCG'!$D$5:$Q$215,12,0)*$H407</f>
        <v>134.90967450827574</v>
      </c>
      <c r="T407" s="384">
        <f>VLOOKUP($A407,'8.Non-elective admissions - CCG'!$D$5:$Q$215,13,0)*$H407</f>
        <v>131.73481756465739</v>
      </c>
      <c r="U407" s="384">
        <f>VLOOKUP($A407,'8.Non-elective admissions - CCG'!$D$5:$Q$215,14,0)*$H407</f>
        <v>137.78009311483481</v>
      </c>
    </row>
    <row r="408" spans="1:21">
      <c r="A408" s="395" t="s">
        <v>332</v>
      </c>
      <c r="B408" s="395" t="s">
        <v>331</v>
      </c>
      <c r="C408" s="395" t="s">
        <v>776</v>
      </c>
      <c r="D408" s="395" t="s">
        <v>444</v>
      </c>
      <c r="E408" s="537">
        <f>COUNTIF($D$5:D408,D408)</f>
        <v>2</v>
      </c>
      <c r="F408" s="537" t="str">
        <f t="shared" si="12"/>
        <v>Sutton2</v>
      </c>
      <c r="G408" s="541" t="str">
        <f t="shared" si="13"/>
        <v>NHS Kingston CCG</v>
      </c>
      <c r="H408" s="546">
        <v>3.3323420226839227E-2</v>
      </c>
      <c r="I408" s="546">
        <v>3.1693781210986267E-2</v>
      </c>
      <c r="J408" s="384">
        <f>VLOOKUP($A408,'8.Non-elective admissions - CCG'!$D$5:$N$215,3,0)*$H408</f>
        <v>104.96877371454357</v>
      </c>
      <c r="K408" s="384">
        <f>VLOOKUP($A408,'8.Non-elective admissions - CCG'!$D$5:$N$215,4,0)*$H408</f>
        <v>105.7685357999877</v>
      </c>
      <c r="L408" s="384">
        <f>VLOOKUP($A408,'8.Non-elective admissions - CCG'!$D$5:$N$215,5,0)*$H408</f>
        <v>103.40257296388212</v>
      </c>
      <c r="M408" s="384">
        <f>VLOOKUP($A408,'8.Non-elective admissions - CCG'!$D$5:$N$215,6,0)*$H408</f>
        <v>107.40138339110283</v>
      </c>
      <c r="N408" s="384">
        <f>VLOOKUP($A408,'8.Non-elective admissions - CCG'!$D$5:$N$215,7,0)*$H408</f>
        <v>105.23536107635827</v>
      </c>
      <c r="O408" s="384">
        <f>VLOOKUP($A408,'8.Non-elective admissions - CCG'!$D$5:$N$215,8,0)*$H408</f>
        <v>105.96847632134875</v>
      </c>
      <c r="P408" s="384">
        <f>VLOOKUP($A408,'8.Non-elective admissions - CCG'!$D$5:$N$215,9,0)*$H408</f>
        <v>103.50254322456264</v>
      </c>
      <c r="Q408" s="384">
        <f>VLOOKUP($A408,'8.Non-elective admissions - CCG'!$D$5:$N$215,10,0)*$H408</f>
        <v>108.20114547654697</v>
      </c>
      <c r="R408" s="384">
        <f>VLOOKUP($A408,'8.Non-elective admissions - CCG'!$D$5:$Q$215,11,0)*$H408</f>
        <v>102.66945771889166</v>
      </c>
      <c r="S408" s="384">
        <f>VLOOKUP($A408,'8.Non-elective admissions - CCG'!$D$5:$Q$215,12,0)*$H408</f>
        <v>103.36924954365529</v>
      </c>
      <c r="T408" s="384">
        <f>VLOOKUP($A408,'8.Non-elective admissions - CCG'!$D$5:$Q$215,13,0)*$H408</f>
        <v>100.93663986709602</v>
      </c>
      <c r="U408" s="384">
        <f>VLOOKUP($A408,'8.Non-elective admissions - CCG'!$D$5:$Q$215,14,0)*$H408</f>
        <v>105.56859527862667</v>
      </c>
    </row>
    <row r="409" spans="1:21">
      <c r="A409" s="395" t="s">
        <v>335</v>
      </c>
      <c r="B409" s="395" t="s">
        <v>334</v>
      </c>
      <c r="C409" s="395" t="s">
        <v>697</v>
      </c>
      <c r="D409" s="395" t="s">
        <v>198</v>
      </c>
      <c r="E409" s="537">
        <f>COUNTIF($D$5:D409,D409)</f>
        <v>2</v>
      </c>
      <c r="F409" s="537" t="str">
        <f t="shared" si="12"/>
        <v>Halton2</v>
      </c>
      <c r="G409" s="541" t="str">
        <f t="shared" si="13"/>
        <v>NHS Knowsley CCG</v>
      </c>
      <c r="H409" s="546">
        <v>1.2060851346898684E-3</v>
      </c>
      <c r="I409" s="546">
        <v>1.4774986100850702E-3</v>
      </c>
      <c r="J409" s="384">
        <f>VLOOKUP($A409,'8.Non-elective admissions - CCG'!$D$5:$N$215,3,0)*$H409</f>
        <v>6.6358804110636562</v>
      </c>
      <c r="K409" s="384">
        <f>VLOOKUP($A409,'8.Non-elective admissions - CCG'!$D$5:$N$215,4,0)*$H409</f>
        <v>6.2957644030811126</v>
      </c>
      <c r="L409" s="384">
        <f>VLOOKUP($A409,'8.Non-elective admissions - CCG'!$D$5:$N$215,5,0)*$H409</f>
        <v>6.2101323585181323</v>
      </c>
      <c r="M409" s="384">
        <f>VLOOKUP($A409,'8.Non-elective admissions - CCG'!$D$5:$N$215,6,0)*$H409</f>
        <v>6.2402844868853791</v>
      </c>
      <c r="N409" s="384">
        <f>VLOOKUP($A409,'8.Non-elective admissions - CCG'!$D$5:$N$215,7,0)*$H409</f>
        <v>6.3729538517012649</v>
      </c>
      <c r="O409" s="384">
        <f>VLOOKUP($A409,'8.Non-elective admissions - CCG'!$D$5:$N$215,8,0)*$H409</f>
        <v>6.2607879341751067</v>
      </c>
      <c r="P409" s="384">
        <f>VLOOKUP($A409,'8.Non-elective admissions - CCG'!$D$5:$N$215,9,0)*$H409</f>
        <v>6.333153042256499</v>
      </c>
      <c r="Q409" s="384">
        <f>VLOOKUP($A409,'8.Non-elective admissions - CCG'!$D$5:$N$215,10,0)*$H409</f>
        <v>6.6105526232351686</v>
      </c>
      <c r="R409" s="384">
        <f>VLOOKUP($A409,'8.Non-elective admissions - CCG'!$D$5:$Q$215,11,0)*$H409</f>
        <v>6.2330479760772395</v>
      </c>
      <c r="S409" s="384">
        <f>VLOOKUP($A409,'8.Non-elective admissions - CCG'!$D$5:$Q$215,12,0)*$H409</f>
        <v>6.1269124842245315</v>
      </c>
      <c r="T409" s="384">
        <f>VLOOKUP($A409,'8.Non-elective admissions - CCG'!$D$5:$Q$215,13,0)*$H409</f>
        <v>6.1944532517671638</v>
      </c>
      <c r="U409" s="384">
        <f>VLOOKUP($A409,'8.Non-elective admissions - CCG'!$D$5:$Q$215,14,0)*$H409</f>
        <v>6.4670284922070742</v>
      </c>
    </row>
    <row r="410" spans="1:21">
      <c r="A410" s="395" t="s">
        <v>335</v>
      </c>
      <c r="B410" s="395" t="s">
        <v>334</v>
      </c>
      <c r="C410" s="395" t="s">
        <v>716</v>
      </c>
      <c r="D410" s="395" t="s">
        <v>264</v>
      </c>
      <c r="E410" s="537">
        <f>COUNTIF($D$5:D410,D410)</f>
        <v>2</v>
      </c>
      <c r="F410" s="537" t="str">
        <f t="shared" si="12"/>
        <v>Knowsley2</v>
      </c>
      <c r="G410" s="541" t="str">
        <f t="shared" si="13"/>
        <v>NHS Knowsley CCG</v>
      </c>
      <c r="H410" s="546">
        <v>0.86987957799454163</v>
      </c>
      <c r="I410" s="546">
        <v>0.88059335154253782</v>
      </c>
      <c r="J410" s="384">
        <f>VLOOKUP($A410,'8.Non-elective admissions - CCG'!$D$5:$N$215,3,0)*$H410</f>
        <v>4786.077438125968</v>
      </c>
      <c r="K410" s="384">
        <f>VLOOKUP($A410,'8.Non-elective admissions - CCG'!$D$5:$N$215,4,0)*$H410</f>
        <v>4540.771397131507</v>
      </c>
      <c r="L410" s="384">
        <f>VLOOKUP($A410,'8.Non-elective admissions - CCG'!$D$5:$N$215,5,0)*$H410</f>
        <v>4479.0099470938949</v>
      </c>
      <c r="M410" s="384">
        <f>VLOOKUP($A410,'8.Non-elective admissions - CCG'!$D$5:$N$215,6,0)*$H410</f>
        <v>4500.7569365437585</v>
      </c>
      <c r="N410" s="384">
        <f>VLOOKUP($A410,'8.Non-elective admissions - CCG'!$D$5:$N$215,7,0)*$H410</f>
        <v>4596.4436901231584</v>
      </c>
      <c r="O410" s="384">
        <f>VLOOKUP($A410,'8.Non-elective admissions - CCG'!$D$5:$N$215,8,0)*$H410</f>
        <v>4515.5448893696657</v>
      </c>
      <c r="P410" s="384">
        <f>VLOOKUP($A410,'8.Non-elective admissions - CCG'!$D$5:$N$215,9,0)*$H410</f>
        <v>4567.7376640493385</v>
      </c>
      <c r="Q410" s="384">
        <f>VLOOKUP($A410,'8.Non-elective admissions - CCG'!$D$5:$N$215,10,0)*$H410</f>
        <v>4767.809966988083</v>
      </c>
      <c r="R410" s="384">
        <f>VLOOKUP($A410,'8.Non-elective admissions - CCG'!$D$5:$Q$215,11,0)*$H410</f>
        <v>4495.5376590757915</v>
      </c>
      <c r="S410" s="384">
        <f>VLOOKUP($A410,'8.Non-elective admissions - CCG'!$D$5:$Q$215,12,0)*$H410</f>
        <v>4418.9882562122712</v>
      </c>
      <c r="T410" s="384">
        <f>VLOOKUP($A410,'8.Non-elective admissions - CCG'!$D$5:$Q$215,13,0)*$H410</f>
        <v>4467.7015125799662</v>
      </c>
      <c r="U410" s="384">
        <f>VLOOKUP($A410,'8.Non-elective admissions - CCG'!$D$5:$Q$215,14,0)*$H410</f>
        <v>4664.2942972067322</v>
      </c>
    </row>
    <row r="411" spans="1:21">
      <c r="A411" s="395" t="s">
        <v>335</v>
      </c>
      <c r="B411" s="395" t="s">
        <v>334</v>
      </c>
      <c r="C411" s="395" t="s">
        <v>724</v>
      </c>
      <c r="D411" s="395" t="s">
        <v>288</v>
      </c>
      <c r="E411" s="537">
        <f>COUNTIF($D$5:D411,D411)</f>
        <v>1</v>
      </c>
      <c r="F411" s="537" t="str">
        <f t="shared" si="12"/>
        <v>Liverpool1</v>
      </c>
      <c r="G411" s="541" t="str">
        <f t="shared" si="13"/>
        <v>NHS Knowsley CCG</v>
      </c>
      <c r="H411" s="546">
        <v>8.5128472934579216E-2</v>
      </c>
      <c r="I411" s="546">
        <v>2.8031050534909334E-2</v>
      </c>
      <c r="J411" s="384">
        <f>VLOOKUP($A411,'8.Non-elective admissions - CCG'!$D$5:$N$215,3,0)*$H411</f>
        <v>468.37685808605482</v>
      </c>
      <c r="K411" s="384">
        <f>VLOOKUP($A411,'8.Non-elective admissions - CCG'!$D$5:$N$215,4,0)*$H411</f>
        <v>444.3706287185035</v>
      </c>
      <c r="L411" s="384">
        <f>VLOOKUP($A411,'8.Non-elective admissions - CCG'!$D$5:$N$215,5,0)*$H411</f>
        <v>438.32650714014841</v>
      </c>
      <c r="M411" s="384">
        <f>VLOOKUP($A411,'8.Non-elective admissions - CCG'!$D$5:$N$215,6,0)*$H411</f>
        <v>440.45471896351285</v>
      </c>
      <c r="N411" s="384">
        <f>VLOOKUP($A411,'8.Non-elective admissions - CCG'!$D$5:$N$215,7,0)*$H411</f>
        <v>449.81885098631659</v>
      </c>
      <c r="O411" s="384">
        <f>VLOOKUP($A411,'8.Non-elective admissions - CCG'!$D$5:$N$215,8,0)*$H411</f>
        <v>441.90190300340072</v>
      </c>
      <c r="P411" s="384">
        <f>VLOOKUP($A411,'8.Non-elective admissions - CCG'!$D$5:$N$215,9,0)*$H411</f>
        <v>447.00961137947547</v>
      </c>
      <c r="Q411" s="384">
        <f>VLOOKUP($A411,'8.Non-elective admissions - CCG'!$D$5:$N$215,10,0)*$H411</f>
        <v>466.58916015442867</v>
      </c>
      <c r="R411" s="384">
        <f>VLOOKUP($A411,'8.Non-elective admissions - CCG'!$D$5:$Q$215,11,0)*$H411</f>
        <v>439.94394812590537</v>
      </c>
      <c r="S411" s="384">
        <f>VLOOKUP($A411,'8.Non-elective admissions - CCG'!$D$5:$Q$215,12,0)*$H411</f>
        <v>432.4526425076624</v>
      </c>
      <c r="T411" s="384">
        <f>VLOOKUP($A411,'8.Non-elective admissions - CCG'!$D$5:$Q$215,13,0)*$H411</f>
        <v>437.21983699199887</v>
      </c>
      <c r="U411" s="384">
        <f>VLOOKUP($A411,'8.Non-elective admissions - CCG'!$D$5:$Q$215,14,0)*$H411</f>
        <v>456.45887187521373</v>
      </c>
    </row>
    <row r="412" spans="1:21">
      <c r="A412" s="395" t="s">
        <v>335</v>
      </c>
      <c r="B412" s="395" t="s">
        <v>334</v>
      </c>
      <c r="C412" s="395" t="s">
        <v>757</v>
      </c>
      <c r="D412" s="395" t="s">
        <v>387</v>
      </c>
      <c r="E412" s="537">
        <f>COUNTIF($D$5:D412,D412)</f>
        <v>1</v>
      </c>
      <c r="F412" s="537" t="str">
        <f t="shared" si="12"/>
        <v>Sefton1</v>
      </c>
      <c r="G412" s="541" t="str">
        <f t="shared" si="13"/>
        <v>NHS Knowsley CCG</v>
      </c>
      <c r="H412" s="546">
        <v>1.7537969922474837E-2</v>
      </c>
      <c r="I412" s="546">
        <v>9.8881839531704575E-3</v>
      </c>
      <c r="J412" s="384">
        <f>VLOOKUP($A412,'8.Non-elective admissions - CCG'!$D$5:$N$215,3,0)*$H412</f>
        <v>96.493910513456555</v>
      </c>
      <c r="K412" s="384">
        <f>VLOOKUP($A412,'8.Non-elective admissions - CCG'!$D$5:$N$215,4,0)*$H412</f>
        <v>91.548202995318647</v>
      </c>
      <c r="L412" s="384">
        <f>VLOOKUP($A412,'8.Non-elective admissions - CCG'!$D$5:$N$215,5,0)*$H412</f>
        <v>90.303007130822934</v>
      </c>
      <c r="M412" s="384">
        <f>VLOOKUP($A412,'8.Non-elective admissions - CCG'!$D$5:$N$215,6,0)*$H412</f>
        <v>90.741456378884806</v>
      </c>
      <c r="N412" s="384">
        <f>VLOOKUP($A412,'8.Non-elective admissions - CCG'!$D$5:$N$215,7,0)*$H412</f>
        <v>92.670633070357042</v>
      </c>
      <c r="O412" s="384">
        <f>VLOOKUP($A412,'8.Non-elective admissions - CCG'!$D$5:$N$215,8,0)*$H412</f>
        <v>91.039601867566873</v>
      </c>
      <c r="P412" s="384">
        <f>VLOOKUP($A412,'8.Non-elective admissions - CCG'!$D$5:$N$215,9,0)*$H412</f>
        <v>92.091880062915365</v>
      </c>
      <c r="Q412" s="384">
        <f>VLOOKUP($A412,'8.Non-elective admissions - CCG'!$D$5:$N$215,10,0)*$H412</f>
        <v>96.125613145084586</v>
      </c>
      <c r="R412" s="384">
        <f>VLOOKUP($A412,'8.Non-elective admissions - CCG'!$D$5:$Q$215,11,0)*$H412</f>
        <v>90.636228559349959</v>
      </c>
      <c r="S412" s="384">
        <f>VLOOKUP($A412,'8.Non-elective admissions - CCG'!$D$5:$Q$215,12,0)*$H412</f>
        <v>89.092887206172165</v>
      </c>
      <c r="T412" s="384">
        <f>VLOOKUP($A412,'8.Non-elective admissions - CCG'!$D$5:$Q$215,13,0)*$H412</f>
        <v>90.075013521830755</v>
      </c>
      <c r="U412" s="384">
        <f>VLOOKUP($A412,'8.Non-elective admissions - CCG'!$D$5:$Q$215,14,0)*$H412</f>
        <v>94.038594724310073</v>
      </c>
    </row>
    <row r="413" spans="1:21">
      <c r="A413" s="395" t="s">
        <v>335</v>
      </c>
      <c r="B413" s="395" t="s">
        <v>334</v>
      </c>
      <c r="C413" s="395" t="s">
        <v>768</v>
      </c>
      <c r="D413" s="395" t="s">
        <v>420</v>
      </c>
      <c r="E413" s="537">
        <f>COUNTIF($D$5:D413,D413)</f>
        <v>2</v>
      </c>
      <c r="F413" s="537" t="str">
        <f t="shared" si="12"/>
        <v>St. Helens2</v>
      </c>
      <c r="G413" s="541" t="str">
        <f t="shared" si="13"/>
        <v>NHS Knowsley CCG</v>
      </c>
      <c r="H413" s="546">
        <v>2.6247894013714558E-2</v>
      </c>
      <c r="I413" s="546">
        <v>2.3030640243070895E-2</v>
      </c>
      <c r="J413" s="384">
        <f>VLOOKUP($A413,'8.Non-elective admissions - CCG'!$D$5:$N$215,3,0)*$H413</f>
        <v>144.41591286345749</v>
      </c>
      <c r="K413" s="384">
        <f>VLOOKUP($A413,'8.Non-elective admissions - CCG'!$D$5:$N$215,4,0)*$H413</f>
        <v>137.01400675158999</v>
      </c>
      <c r="L413" s="384">
        <f>VLOOKUP($A413,'8.Non-elective admissions - CCG'!$D$5:$N$215,5,0)*$H413</f>
        <v>135.15040627661625</v>
      </c>
      <c r="M413" s="384">
        <f>VLOOKUP($A413,'8.Non-elective admissions - CCG'!$D$5:$N$215,6,0)*$H413</f>
        <v>135.80660362695912</v>
      </c>
      <c r="N413" s="384">
        <f>VLOOKUP($A413,'8.Non-elective admissions - CCG'!$D$5:$N$215,7,0)*$H413</f>
        <v>138.69387196846773</v>
      </c>
      <c r="O413" s="384">
        <f>VLOOKUP($A413,'8.Non-elective admissions - CCG'!$D$5:$N$215,8,0)*$H413</f>
        <v>136.25281782519227</v>
      </c>
      <c r="P413" s="384">
        <f>VLOOKUP($A413,'8.Non-elective admissions - CCG'!$D$5:$N$215,9,0)*$H413</f>
        <v>137.82769146601515</v>
      </c>
      <c r="Q413" s="384">
        <f>VLOOKUP($A413,'8.Non-elective admissions - CCG'!$D$5:$N$215,10,0)*$H413</f>
        <v>143.86470708916949</v>
      </c>
      <c r="R413" s="384">
        <f>VLOOKUP($A413,'8.Non-elective admissions - CCG'!$D$5:$Q$215,11,0)*$H413</f>
        <v>135.64911626287684</v>
      </c>
      <c r="S413" s="384">
        <f>VLOOKUP($A413,'8.Non-elective admissions - CCG'!$D$5:$Q$215,12,0)*$H413</f>
        <v>133.33930158966996</v>
      </c>
      <c r="T413" s="384">
        <f>VLOOKUP($A413,'8.Non-elective admissions - CCG'!$D$5:$Q$215,13,0)*$H413</f>
        <v>134.80918365443796</v>
      </c>
      <c r="U413" s="384">
        <f>VLOOKUP($A413,'8.Non-elective admissions - CCG'!$D$5:$Q$215,14,0)*$H413</f>
        <v>140.74120770153746</v>
      </c>
    </row>
    <row r="414" spans="1:21">
      <c r="A414" s="395" t="s">
        <v>338</v>
      </c>
      <c r="B414" s="395" t="s">
        <v>337</v>
      </c>
      <c r="C414" s="395" t="s">
        <v>679</v>
      </c>
      <c r="D414" s="395" t="s">
        <v>132</v>
      </c>
      <c r="E414" s="537">
        <f>COUNTIF($D$5:D414,D414)</f>
        <v>4</v>
      </c>
      <c r="F414" s="537" t="str">
        <f t="shared" si="12"/>
        <v>Croydon4</v>
      </c>
      <c r="G414" s="541" t="str">
        <f t="shared" si="13"/>
        <v>NHS Lambeth CCG</v>
      </c>
      <c r="H414" s="546">
        <v>2.5828112337345895E-2</v>
      </c>
      <c r="I414" s="546">
        <v>2.418986764034687E-2</v>
      </c>
      <c r="J414" s="384">
        <f>VLOOKUP($A414,'8.Non-elective admissions - CCG'!$D$5:$N$215,3,0)*$H414</f>
        <v>180.69347391207188</v>
      </c>
      <c r="K414" s="384">
        <f>VLOOKUP($A414,'8.Non-elective admissions - CCG'!$D$5:$N$215,4,0)*$H414</f>
        <v>192.72937426127507</v>
      </c>
      <c r="L414" s="384">
        <f>VLOOKUP($A414,'8.Non-elective admissions - CCG'!$D$5:$N$215,5,0)*$H414</f>
        <v>190.9988907346729</v>
      </c>
      <c r="M414" s="384">
        <f>VLOOKUP($A414,'8.Non-elective admissions - CCG'!$D$5:$N$215,6,0)*$H414</f>
        <v>185.47167469448087</v>
      </c>
      <c r="N414" s="384">
        <f>VLOOKUP($A414,'8.Non-elective admissions - CCG'!$D$5:$N$215,7,0)*$H414</f>
        <v>180.02194299130088</v>
      </c>
      <c r="O414" s="384">
        <f>VLOOKUP($A414,'8.Non-elective admissions - CCG'!$D$5:$N$215,8,0)*$H414</f>
        <v>191.95453089115469</v>
      </c>
      <c r="P414" s="384">
        <f>VLOOKUP($A414,'8.Non-elective admissions - CCG'!$D$5:$N$215,9,0)*$H414</f>
        <v>184.10278474060155</v>
      </c>
      <c r="Q414" s="384">
        <f>VLOOKUP($A414,'8.Non-elective admissions - CCG'!$D$5:$N$215,10,0)*$H414</f>
        <v>175.76030445563882</v>
      </c>
      <c r="R414" s="384">
        <f>VLOOKUP($A414,'8.Non-elective admissions - CCG'!$D$5:$Q$215,11,0)*$H414</f>
        <v>179.27292773351786</v>
      </c>
      <c r="S414" s="384">
        <f>VLOOKUP($A414,'8.Non-elective admissions - CCG'!$D$5:$Q$215,12,0)*$H414</f>
        <v>191.20551563337165</v>
      </c>
      <c r="T414" s="384">
        <f>VLOOKUP($A414,'8.Non-elective admissions - CCG'!$D$5:$Q$215,13,0)*$H414</f>
        <v>183.40542570749321</v>
      </c>
      <c r="U414" s="384">
        <f>VLOOKUP($A414,'8.Non-elective admissions - CCG'!$D$5:$Q$215,14,0)*$H414</f>
        <v>175.08877353486781</v>
      </c>
    </row>
    <row r="415" spans="1:21">
      <c r="A415" s="395" t="s">
        <v>338</v>
      </c>
      <c r="B415" s="395" t="s">
        <v>337</v>
      </c>
      <c r="C415" s="395" t="s">
        <v>717</v>
      </c>
      <c r="D415" s="395" t="s">
        <v>267</v>
      </c>
      <c r="E415" s="537">
        <f>COUNTIF($D$5:D415,D415)</f>
        <v>3</v>
      </c>
      <c r="F415" s="537" t="str">
        <f t="shared" si="12"/>
        <v>Lambeth3</v>
      </c>
      <c r="G415" s="541" t="str">
        <f t="shared" si="13"/>
        <v>NHS Lambeth CCG</v>
      </c>
      <c r="H415" s="546">
        <v>0.87185023841127363</v>
      </c>
      <c r="I415" s="546">
        <v>0.92860665986074653</v>
      </c>
      <c r="J415" s="384">
        <f>VLOOKUP($A415,'8.Non-elective admissions - CCG'!$D$5:$N$215,3,0)*$H415</f>
        <v>6099.4642679252702</v>
      </c>
      <c r="K415" s="384">
        <f>VLOOKUP($A415,'8.Non-elective admissions - CCG'!$D$5:$N$215,4,0)*$H415</f>
        <v>6505.7464790249242</v>
      </c>
      <c r="L415" s="384">
        <f>VLOOKUP($A415,'8.Non-elective admissions - CCG'!$D$5:$N$215,5,0)*$H415</f>
        <v>6447.3325130513686</v>
      </c>
      <c r="M415" s="384">
        <f>VLOOKUP($A415,'8.Non-elective admissions - CCG'!$D$5:$N$215,6,0)*$H415</f>
        <v>6260.7565620313562</v>
      </c>
      <c r="N415" s="384">
        <f>VLOOKUP($A415,'8.Non-elective admissions - CCG'!$D$5:$N$215,7,0)*$H415</f>
        <v>6076.7961617265773</v>
      </c>
      <c r="O415" s="384">
        <f>VLOOKUP($A415,'8.Non-elective admissions - CCG'!$D$5:$N$215,8,0)*$H415</f>
        <v>6479.5909718725852</v>
      </c>
      <c r="P415" s="384">
        <f>VLOOKUP($A415,'8.Non-elective admissions - CCG'!$D$5:$N$215,9,0)*$H415</f>
        <v>6214.5484993955588</v>
      </c>
      <c r="Q415" s="384">
        <f>VLOOKUP($A415,'8.Non-elective admissions - CCG'!$D$5:$N$215,10,0)*$H415</f>
        <v>5932.9408723887173</v>
      </c>
      <c r="R415" s="384">
        <f>VLOOKUP($A415,'8.Non-elective admissions - CCG'!$D$5:$Q$215,11,0)*$H415</f>
        <v>6051.5125048126501</v>
      </c>
      <c r="S415" s="384">
        <f>VLOOKUP($A415,'8.Non-elective admissions - CCG'!$D$5:$Q$215,12,0)*$H415</f>
        <v>6454.3073149586589</v>
      </c>
      <c r="T415" s="384">
        <f>VLOOKUP($A415,'8.Non-elective admissions - CCG'!$D$5:$Q$215,13,0)*$H415</f>
        <v>6191.0085429584542</v>
      </c>
      <c r="U415" s="384">
        <f>VLOOKUP($A415,'8.Non-elective admissions - CCG'!$D$5:$Q$215,14,0)*$H415</f>
        <v>5910.2727661900235</v>
      </c>
    </row>
    <row r="416" spans="1:21">
      <c r="A416" s="395" t="s">
        <v>338</v>
      </c>
      <c r="B416" s="395" t="s">
        <v>337</v>
      </c>
      <c r="C416" s="395" t="s">
        <v>722</v>
      </c>
      <c r="D416" s="395" t="s">
        <v>282</v>
      </c>
      <c r="E416" s="537">
        <f>COUNTIF($D$5:D416,D416)</f>
        <v>4</v>
      </c>
      <c r="F416" s="537" t="str">
        <f t="shared" si="12"/>
        <v>Lewisham4</v>
      </c>
      <c r="G416" s="541" t="str">
        <f t="shared" si="13"/>
        <v>NHS Lambeth CCG</v>
      </c>
      <c r="H416" s="546">
        <v>2.0112165032833713E-3</v>
      </c>
      <c r="I416" s="546">
        <v>2.460806630671468E-3</v>
      </c>
      <c r="J416" s="384">
        <f>VLOOKUP($A416,'8.Non-elective admissions - CCG'!$D$5:$N$215,3,0)*$H416</f>
        <v>14.070470656970466</v>
      </c>
      <c r="K416" s="384">
        <f>VLOOKUP($A416,'8.Non-elective admissions - CCG'!$D$5:$N$215,4,0)*$H416</f>
        <v>15.007697547500516</v>
      </c>
      <c r="L416" s="384">
        <f>VLOOKUP($A416,'8.Non-elective admissions - CCG'!$D$5:$N$215,5,0)*$H416</f>
        <v>14.87294604178053</v>
      </c>
      <c r="M416" s="384">
        <f>VLOOKUP($A416,'8.Non-elective admissions - CCG'!$D$5:$N$215,6,0)*$H416</f>
        <v>14.442545710077889</v>
      </c>
      <c r="N416" s="384">
        <f>VLOOKUP($A416,'8.Non-elective admissions - CCG'!$D$5:$N$215,7,0)*$H416</f>
        <v>14.018179027885099</v>
      </c>
      <c r="O416" s="384">
        <f>VLOOKUP($A416,'8.Non-elective admissions - CCG'!$D$5:$N$215,8,0)*$H416</f>
        <v>14.947361052402016</v>
      </c>
      <c r="P416" s="384">
        <f>VLOOKUP($A416,'8.Non-elective admissions - CCG'!$D$5:$N$215,9,0)*$H416</f>
        <v>14.33595123540387</v>
      </c>
      <c r="Q416" s="384">
        <f>VLOOKUP($A416,'8.Non-elective admissions - CCG'!$D$5:$N$215,10,0)*$H416</f>
        <v>13.686328304843341</v>
      </c>
      <c r="R416" s="384">
        <f>VLOOKUP($A416,'8.Non-elective admissions - CCG'!$D$5:$Q$215,11,0)*$H416</f>
        <v>13.959853749289881</v>
      </c>
      <c r="S416" s="384">
        <f>VLOOKUP($A416,'8.Non-elective admissions - CCG'!$D$5:$Q$215,12,0)*$H416</f>
        <v>14.889035773806798</v>
      </c>
      <c r="T416" s="384">
        <f>VLOOKUP($A416,'8.Non-elective admissions - CCG'!$D$5:$Q$215,13,0)*$H416</f>
        <v>14.281648389815219</v>
      </c>
      <c r="U416" s="384">
        <f>VLOOKUP($A416,'8.Non-elective admissions - CCG'!$D$5:$Q$215,14,0)*$H416</f>
        <v>13.634036675757974</v>
      </c>
    </row>
    <row r="417" spans="1:21">
      <c r="A417" s="395" t="s">
        <v>338</v>
      </c>
      <c r="B417" s="395" t="s">
        <v>337</v>
      </c>
      <c r="C417" s="395" t="s">
        <v>728</v>
      </c>
      <c r="D417" s="395" t="s">
        <v>300</v>
      </c>
      <c r="E417" s="537">
        <f>COUNTIF($D$5:D417,D417)</f>
        <v>3</v>
      </c>
      <c r="F417" s="537" t="str">
        <f t="shared" si="12"/>
        <v>Merton3</v>
      </c>
      <c r="G417" s="541" t="str">
        <f t="shared" si="13"/>
        <v>NHS Lambeth CCG</v>
      </c>
      <c r="H417" s="546">
        <v>8.0529431878454683E-3</v>
      </c>
      <c r="I417" s="546">
        <v>1.3010230713018059E-2</v>
      </c>
      <c r="J417" s="384">
        <f>VLOOKUP($A417,'8.Non-elective admissions - CCG'!$D$5:$N$215,3,0)*$H417</f>
        <v>56.338390542166898</v>
      </c>
      <c r="K417" s="384">
        <f>VLOOKUP($A417,'8.Non-elective admissions - CCG'!$D$5:$N$215,4,0)*$H417</f>
        <v>60.091062067702886</v>
      </c>
      <c r="L417" s="384">
        <f>VLOOKUP($A417,'8.Non-elective admissions - CCG'!$D$5:$N$215,5,0)*$H417</f>
        <v>59.551514874117238</v>
      </c>
      <c r="M417" s="384">
        <f>VLOOKUP($A417,'8.Non-elective admissions - CCG'!$D$5:$N$215,6,0)*$H417</f>
        <v>57.828185031918309</v>
      </c>
      <c r="N417" s="384">
        <f>VLOOKUP($A417,'8.Non-elective admissions - CCG'!$D$5:$N$215,7,0)*$H417</f>
        <v>56.129014019282913</v>
      </c>
      <c r="O417" s="384">
        <f>VLOOKUP($A417,'8.Non-elective admissions - CCG'!$D$5:$N$215,8,0)*$H417</f>
        <v>59.849473772067519</v>
      </c>
      <c r="P417" s="384">
        <f>VLOOKUP($A417,'8.Non-elective admissions - CCG'!$D$5:$N$215,9,0)*$H417</f>
        <v>57.401379042962496</v>
      </c>
      <c r="Q417" s="384">
        <f>VLOOKUP($A417,'8.Non-elective admissions - CCG'!$D$5:$N$215,10,0)*$H417</f>
        <v>54.800278393288409</v>
      </c>
      <c r="R417" s="384">
        <f>VLOOKUP($A417,'8.Non-elective admissions - CCG'!$D$5:$Q$215,11,0)*$H417</f>
        <v>55.895478666835395</v>
      </c>
      <c r="S417" s="384">
        <f>VLOOKUP($A417,'8.Non-elective admissions - CCG'!$D$5:$Q$215,12,0)*$H417</f>
        <v>59.615938419620001</v>
      </c>
      <c r="T417" s="384">
        <f>VLOOKUP($A417,'8.Non-elective admissions - CCG'!$D$5:$Q$215,13,0)*$H417</f>
        <v>57.183949576890669</v>
      </c>
      <c r="U417" s="384">
        <f>VLOOKUP($A417,'8.Non-elective admissions - CCG'!$D$5:$Q$215,14,0)*$H417</f>
        <v>54.59090187040443</v>
      </c>
    </row>
    <row r="418" spans="1:21">
      <c r="A418" s="395" t="s">
        <v>338</v>
      </c>
      <c r="B418" s="395" t="s">
        <v>337</v>
      </c>
      <c r="C418" s="395" t="s">
        <v>767</v>
      </c>
      <c r="D418" s="395" t="s">
        <v>417</v>
      </c>
      <c r="E418" s="537">
        <f>COUNTIF($D$5:D418,D418)</f>
        <v>3</v>
      </c>
      <c r="F418" s="537" t="str">
        <f t="shared" si="12"/>
        <v>Southwark3</v>
      </c>
      <c r="G418" s="541" t="str">
        <f t="shared" si="13"/>
        <v>NHS Lambeth CCG</v>
      </c>
      <c r="H418" s="546">
        <v>6.6238217421388898E-2</v>
      </c>
      <c r="I418" s="546">
        <v>7.6110865334937924E-2</v>
      </c>
      <c r="J418" s="384">
        <f>VLOOKUP($A418,'8.Non-elective admissions - CCG'!$D$5:$N$215,3,0)*$H418</f>
        <v>463.40256908003676</v>
      </c>
      <c r="K418" s="384">
        <f>VLOOKUP($A418,'8.Non-elective admissions - CCG'!$D$5:$N$215,4,0)*$H418</f>
        <v>494.26957839840395</v>
      </c>
      <c r="L418" s="384">
        <f>VLOOKUP($A418,'8.Non-elective admissions - CCG'!$D$5:$N$215,5,0)*$H418</f>
        <v>489.83161783117089</v>
      </c>
      <c r="M418" s="384">
        <f>VLOOKUP($A418,'8.Non-elective admissions - CCG'!$D$5:$N$215,6,0)*$H418</f>
        <v>475.65663930299365</v>
      </c>
      <c r="N418" s="384">
        <f>VLOOKUP($A418,'8.Non-elective admissions - CCG'!$D$5:$N$215,7,0)*$H418</f>
        <v>461.68037542708061</v>
      </c>
      <c r="O418" s="384">
        <f>VLOOKUP($A418,'8.Non-elective admissions - CCG'!$D$5:$N$215,8,0)*$H418</f>
        <v>492.28243187576231</v>
      </c>
      <c r="P418" s="384">
        <f>VLOOKUP($A418,'8.Non-elective admissions - CCG'!$D$5:$N$215,9,0)*$H418</f>
        <v>472.14601377966005</v>
      </c>
      <c r="Q418" s="384">
        <f>VLOOKUP($A418,'8.Non-elective admissions - CCG'!$D$5:$N$215,10,0)*$H418</f>
        <v>450.75106955255143</v>
      </c>
      <c r="R418" s="384">
        <f>VLOOKUP($A418,'8.Non-elective admissions - CCG'!$D$5:$Q$215,11,0)*$H418</f>
        <v>459.75946712186033</v>
      </c>
      <c r="S418" s="384">
        <f>VLOOKUP($A418,'8.Non-elective admissions - CCG'!$D$5:$Q$215,12,0)*$H418</f>
        <v>490.36152357054203</v>
      </c>
      <c r="T418" s="384">
        <f>VLOOKUP($A418,'8.Non-elective admissions - CCG'!$D$5:$Q$215,13,0)*$H418</f>
        <v>470.35758190928254</v>
      </c>
      <c r="U418" s="384">
        <f>VLOOKUP($A418,'8.Non-elective admissions - CCG'!$D$5:$Q$215,14,0)*$H418</f>
        <v>449.02887589959533</v>
      </c>
    </row>
    <row r="419" spans="1:21">
      <c r="A419" s="395" t="s">
        <v>338</v>
      </c>
      <c r="B419" s="395" t="s">
        <v>337</v>
      </c>
      <c r="C419" s="395" t="s">
        <v>776</v>
      </c>
      <c r="D419" s="395" t="s">
        <v>444</v>
      </c>
      <c r="E419" s="537">
        <f>COUNTIF($D$5:D419,D419)</f>
        <v>3</v>
      </c>
      <c r="F419" s="537" t="str">
        <f t="shared" si="12"/>
        <v>Sutton3</v>
      </c>
      <c r="G419" s="541" t="str">
        <f t="shared" si="13"/>
        <v>NHS Lambeth CCG</v>
      </c>
      <c r="H419" s="546">
        <v>0</v>
      </c>
      <c r="I419" s="546">
        <v>1.4971519975031211E-3</v>
      </c>
      <c r="J419" s="384">
        <f>VLOOKUP($A419,'8.Non-elective admissions - CCG'!$D$5:$N$215,3,0)*$H419</f>
        <v>0</v>
      </c>
      <c r="K419" s="384">
        <f>VLOOKUP($A419,'8.Non-elective admissions - CCG'!$D$5:$N$215,4,0)*$H419</f>
        <v>0</v>
      </c>
      <c r="L419" s="384">
        <f>VLOOKUP($A419,'8.Non-elective admissions - CCG'!$D$5:$N$215,5,0)*$H419</f>
        <v>0</v>
      </c>
      <c r="M419" s="384">
        <f>VLOOKUP($A419,'8.Non-elective admissions - CCG'!$D$5:$N$215,6,0)*$H419</f>
        <v>0</v>
      </c>
      <c r="N419" s="384">
        <f>VLOOKUP($A419,'8.Non-elective admissions - CCG'!$D$5:$N$215,7,0)*$H419</f>
        <v>0</v>
      </c>
      <c r="O419" s="384">
        <f>VLOOKUP($A419,'8.Non-elective admissions - CCG'!$D$5:$N$215,8,0)*$H419</f>
        <v>0</v>
      </c>
      <c r="P419" s="384">
        <f>VLOOKUP($A419,'8.Non-elective admissions - CCG'!$D$5:$N$215,9,0)*$H419</f>
        <v>0</v>
      </c>
      <c r="Q419" s="384">
        <f>VLOOKUP($A419,'8.Non-elective admissions - CCG'!$D$5:$N$215,10,0)*$H419</f>
        <v>0</v>
      </c>
      <c r="R419" s="384">
        <f>VLOOKUP($A419,'8.Non-elective admissions - CCG'!$D$5:$Q$215,11,0)*$H419</f>
        <v>0</v>
      </c>
      <c r="S419" s="384">
        <f>VLOOKUP($A419,'8.Non-elective admissions - CCG'!$D$5:$Q$215,12,0)*$H419</f>
        <v>0</v>
      </c>
      <c r="T419" s="384">
        <f>VLOOKUP($A419,'8.Non-elective admissions - CCG'!$D$5:$Q$215,13,0)*$H419</f>
        <v>0</v>
      </c>
      <c r="U419" s="384">
        <f>VLOOKUP($A419,'8.Non-elective admissions - CCG'!$D$5:$Q$215,14,0)*$H419</f>
        <v>0</v>
      </c>
    </row>
    <row r="420" spans="1:21">
      <c r="A420" s="395" t="s">
        <v>338</v>
      </c>
      <c r="B420" s="395" t="s">
        <v>337</v>
      </c>
      <c r="C420" s="395" t="s">
        <v>787</v>
      </c>
      <c r="D420" s="395" t="s">
        <v>477</v>
      </c>
      <c r="E420" s="537">
        <f>COUNTIF($D$5:D420,D420)</f>
        <v>3</v>
      </c>
      <c r="F420" s="537" t="str">
        <f t="shared" si="12"/>
        <v>Wandsworth3</v>
      </c>
      <c r="G420" s="541" t="str">
        <f t="shared" si="13"/>
        <v>NHS Lambeth CCG</v>
      </c>
      <c r="H420" s="546">
        <v>2.6019272138862789E-2</v>
      </c>
      <c r="I420" s="546">
        <v>2.7624846353943348E-2</v>
      </c>
      <c r="J420" s="384">
        <f>VLOOKUP($A420,'8.Non-elective admissions - CCG'!$D$5:$N$215,3,0)*$H420</f>
        <v>182.03082788348408</v>
      </c>
      <c r="K420" s="384">
        <f>VLOOKUP($A420,'8.Non-elective admissions - CCG'!$D$5:$N$215,4,0)*$H420</f>
        <v>194.15580870019414</v>
      </c>
      <c r="L420" s="384">
        <f>VLOOKUP($A420,'8.Non-elective admissions - CCG'!$D$5:$N$215,5,0)*$H420</f>
        <v>192.41251746689034</v>
      </c>
      <c r="M420" s="384">
        <f>VLOOKUP($A420,'8.Non-elective admissions - CCG'!$D$5:$N$215,6,0)*$H420</f>
        <v>186.84439322917368</v>
      </c>
      <c r="N420" s="384">
        <f>VLOOKUP($A420,'8.Non-elective admissions - CCG'!$D$5:$N$215,7,0)*$H420</f>
        <v>181.35432680787363</v>
      </c>
      <c r="O420" s="384">
        <f>VLOOKUP($A420,'8.Non-elective admissions - CCG'!$D$5:$N$215,8,0)*$H420</f>
        <v>193.37523053602825</v>
      </c>
      <c r="P420" s="384">
        <f>VLOOKUP($A420,'8.Non-elective admissions - CCG'!$D$5:$N$215,9,0)*$H420</f>
        <v>185.46537180581396</v>
      </c>
      <c r="Q420" s="384">
        <f>VLOOKUP($A420,'8.Non-elective admissions - CCG'!$D$5:$N$215,10,0)*$H420</f>
        <v>177.06114690496128</v>
      </c>
      <c r="R420" s="384">
        <f>VLOOKUP($A420,'8.Non-elective admissions - CCG'!$D$5:$Q$215,11,0)*$H420</f>
        <v>180.59976791584663</v>
      </c>
      <c r="S420" s="384">
        <f>VLOOKUP($A420,'8.Non-elective admissions - CCG'!$D$5:$Q$215,12,0)*$H420</f>
        <v>192.62067164400122</v>
      </c>
      <c r="T420" s="384">
        <f>VLOOKUP($A420,'8.Non-elective admissions - CCG'!$D$5:$Q$215,13,0)*$H420</f>
        <v>184.76285145806466</v>
      </c>
      <c r="U420" s="384">
        <f>VLOOKUP($A420,'8.Non-elective admissions - CCG'!$D$5:$Q$215,14,0)*$H420</f>
        <v>176.38464582935086</v>
      </c>
    </row>
    <row r="421" spans="1:21">
      <c r="A421" s="395" t="s">
        <v>341</v>
      </c>
      <c r="B421" s="395" t="s">
        <v>340</v>
      </c>
      <c r="C421" s="395" t="s">
        <v>680</v>
      </c>
      <c r="D421" s="395" t="s">
        <v>136</v>
      </c>
      <c r="E421" s="537">
        <f>COUNTIF($D$5:D421,D421)</f>
        <v>2</v>
      </c>
      <c r="F421" s="537" t="str">
        <f t="shared" si="12"/>
        <v>Cumbria2</v>
      </c>
      <c r="G421" s="541" t="str">
        <f t="shared" si="13"/>
        <v>NHS Lancashire North CCG</v>
      </c>
      <c r="H421" s="546">
        <v>2.0679283118185238E-3</v>
      </c>
      <c r="I421" s="546">
        <v>0</v>
      </c>
      <c r="J421" s="384">
        <f>VLOOKUP($A421,'8.Non-elective admissions - CCG'!$D$5:$N$215,3,0)*$H421</f>
        <v>8.956197518486027</v>
      </c>
      <c r="K421" s="384">
        <f>VLOOKUP($A421,'8.Non-elective admissions - CCG'!$D$5:$N$215,4,0)*$H421</f>
        <v>8.7266574758741697</v>
      </c>
      <c r="L421" s="384">
        <f>VLOOKUP($A421,'8.Non-elective admissions - CCG'!$D$5:$N$215,5,0)*$H421</f>
        <v>9.320152901366086</v>
      </c>
      <c r="M421" s="384">
        <f>VLOOKUP($A421,'8.Non-elective admissions - CCG'!$D$5:$N$215,6,0)*$H421</f>
        <v>9.4132096753979209</v>
      </c>
      <c r="N421" s="384">
        <f>VLOOKUP($A421,'8.Non-elective admissions - CCG'!$D$5:$N$215,7,0)*$H421</f>
        <v>9.3387642561724533</v>
      </c>
      <c r="O421" s="384">
        <f>VLOOKUP($A421,'8.Non-elective admissions - CCG'!$D$5:$N$215,8,0)*$H421</f>
        <v>9.0575260057651334</v>
      </c>
      <c r="P421" s="384">
        <f>VLOOKUP($A421,'8.Non-elective admissions - CCG'!$D$5:$N$215,9,0)*$H421</f>
        <v>9.9322596816643696</v>
      </c>
      <c r="Q421" s="384">
        <f>VLOOKUP($A421,'8.Non-elective admissions - CCG'!$D$5:$N$215,10,0)*$H421</f>
        <v>9.6882441408697844</v>
      </c>
      <c r="R421" s="384">
        <f>VLOOKUP($A421,'8.Non-elective admissions - CCG'!$D$5:$Q$215,11,0)*$H421</f>
        <v>9.2167564857751607</v>
      </c>
      <c r="S421" s="384">
        <f>VLOOKUP($A421,'8.Non-elective admissions - CCG'!$D$5:$Q$215,12,0)*$H421</f>
        <v>8.9355182353678408</v>
      </c>
      <c r="T421" s="384">
        <f>VLOOKUP($A421,'8.Non-elective admissions - CCG'!$D$5:$Q$215,13,0)*$H421</f>
        <v>9.8040481263316206</v>
      </c>
      <c r="U421" s="384">
        <f>VLOOKUP($A421,'8.Non-elective admissions - CCG'!$D$5:$Q$215,14,0)*$H421</f>
        <v>9.5621005138488542</v>
      </c>
    </row>
    <row r="422" spans="1:21">
      <c r="A422" s="395" t="s">
        <v>341</v>
      </c>
      <c r="B422" s="395" t="s">
        <v>340</v>
      </c>
      <c r="C422" s="395" t="s">
        <v>718</v>
      </c>
      <c r="D422" s="395" t="s">
        <v>270</v>
      </c>
      <c r="E422" s="537">
        <f>COUNTIF($D$5:D422,D422)</f>
        <v>12</v>
      </c>
      <c r="F422" s="537" t="str">
        <f t="shared" si="12"/>
        <v>Lancashire12</v>
      </c>
      <c r="G422" s="541" t="str">
        <f t="shared" si="13"/>
        <v>NHS Lancashire North CCG</v>
      </c>
      <c r="H422" s="546">
        <v>0.99793207168818143</v>
      </c>
      <c r="I422" s="546">
        <v>0.12985530408972859</v>
      </c>
      <c r="J422" s="384">
        <f>VLOOKUP($A422,'8.Non-elective admissions - CCG'!$D$5:$N$215,3,0)*$H422</f>
        <v>4322.0438024815139</v>
      </c>
      <c r="K422" s="384">
        <f>VLOOKUP($A422,'8.Non-elective admissions - CCG'!$D$5:$N$215,4,0)*$H422</f>
        <v>4211.2733425241258</v>
      </c>
      <c r="L422" s="384">
        <f>VLOOKUP($A422,'8.Non-elective admissions - CCG'!$D$5:$N$215,5,0)*$H422</f>
        <v>4497.6798470986341</v>
      </c>
      <c r="M422" s="384">
        <f>VLOOKUP($A422,'8.Non-elective admissions - CCG'!$D$5:$N$215,6,0)*$H422</f>
        <v>4542.5867903246017</v>
      </c>
      <c r="N422" s="384">
        <f>VLOOKUP($A422,'8.Non-elective admissions - CCG'!$D$5:$N$215,7,0)*$H422</f>
        <v>4506.6612357438271</v>
      </c>
      <c r="O422" s="384">
        <f>VLOOKUP($A422,'8.Non-elective admissions - CCG'!$D$5:$N$215,8,0)*$H422</f>
        <v>4370.9424739942351</v>
      </c>
      <c r="P422" s="384">
        <f>VLOOKUP($A422,'8.Non-elective admissions - CCG'!$D$5:$N$215,9,0)*$H422</f>
        <v>4793.0677403183354</v>
      </c>
      <c r="Q422" s="384">
        <f>VLOOKUP($A422,'8.Non-elective admissions - CCG'!$D$5:$N$215,10,0)*$H422</f>
        <v>4675.3117558591302</v>
      </c>
      <c r="R422" s="384">
        <f>VLOOKUP($A422,'8.Non-elective admissions - CCG'!$D$5:$Q$215,11,0)*$H422</f>
        <v>4447.7832435142245</v>
      </c>
      <c r="S422" s="384">
        <f>VLOOKUP($A422,'8.Non-elective admissions - CCG'!$D$5:$Q$215,12,0)*$H422</f>
        <v>4312.0644817646316</v>
      </c>
      <c r="T422" s="384">
        <f>VLOOKUP($A422,'8.Non-elective admissions - CCG'!$D$5:$Q$215,13,0)*$H422</f>
        <v>4731.1959518736685</v>
      </c>
      <c r="U422" s="384">
        <f>VLOOKUP($A422,'8.Non-elective admissions - CCG'!$D$5:$Q$215,14,0)*$H422</f>
        <v>4614.4378994861509</v>
      </c>
    </row>
    <row r="423" spans="1:21">
      <c r="A423" s="395" t="s">
        <v>344</v>
      </c>
      <c r="B423" s="395" t="s">
        <v>343</v>
      </c>
      <c r="C423" s="395" t="s">
        <v>662</v>
      </c>
      <c r="D423" s="395" t="s">
        <v>68</v>
      </c>
      <c r="E423" s="537">
        <f>COUNTIF($D$5:D423,D423)</f>
        <v>5</v>
      </c>
      <c r="F423" s="537" t="str">
        <f t="shared" si="12"/>
        <v>Bradford5</v>
      </c>
      <c r="G423" s="541" t="str">
        <f t="shared" si="13"/>
        <v>NHS Leeds North CCG</v>
      </c>
      <c r="H423" s="546">
        <v>6.1133260843300712E-3</v>
      </c>
      <c r="I423" s="546">
        <v>2.2521279493529361E-3</v>
      </c>
      <c r="J423" s="384">
        <f>VLOOKUP($A423,'8.Non-elective admissions - CCG'!$D$5:$N$215,3,0)*$H423</f>
        <v>25.510909749909388</v>
      </c>
      <c r="K423" s="384">
        <f>VLOOKUP($A423,'8.Non-elective admissions - CCG'!$D$5:$N$215,4,0)*$H423</f>
        <v>25.498683097740727</v>
      </c>
      <c r="L423" s="384">
        <f>VLOOKUP($A423,'8.Non-elective admissions - CCG'!$D$5:$N$215,5,0)*$H423</f>
        <v>24.031484837501509</v>
      </c>
      <c r="M423" s="384">
        <f>VLOOKUP($A423,'8.Non-elective admissions - CCG'!$D$5:$N$215,6,0)*$H423</f>
        <v>25.089090250090614</v>
      </c>
      <c r="N423" s="384">
        <f>VLOOKUP($A423,'8.Non-elective admissions - CCG'!$D$5:$N$215,7,0)*$H423</f>
        <v>23.297269769091407</v>
      </c>
      <c r="O423" s="384">
        <f>VLOOKUP($A423,'8.Non-elective admissions - CCG'!$D$5:$N$215,8,0)*$H423</f>
        <v>23.553283722878653</v>
      </c>
      <c r="P423" s="384">
        <f>VLOOKUP($A423,'8.Non-elective admissions - CCG'!$D$5:$N$215,9,0)*$H423</f>
        <v>23.55328372287865</v>
      </c>
      <c r="Q423" s="384">
        <f>VLOOKUP($A423,'8.Non-elective admissions - CCG'!$D$5:$N$215,10,0)*$H423</f>
        <v>23.041255815927727</v>
      </c>
      <c r="R423" s="384">
        <f>VLOOKUP($A423,'8.Non-elective admissions - CCG'!$D$5:$Q$215,11,0)*$H423</f>
        <v>22.879087055085318</v>
      </c>
      <c r="S423" s="384">
        <f>VLOOKUP($A423,'8.Non-elective admissions - CCG'!$D$5:$Q$215,12,0)*$H423</f>
        <v>23.130505593937151</v>
      </c>
      <c r="T423" s="384">
        <f>VLOOKUP($A423,'8.Non-elective admissions - CCG'!$D$5:$Q$215,13,0)*$H423</f>
        <v>23.130505593937151</v>
      </c>
      <c r="U423" s="384">
        <f>VLOOKUP($A423,'8.Non-elective admissions - CCG'!$D$5:$Q$215,14,0)*$H423</f>
        <v>22.627668515805556</v>
      </c>
    </row>
    <row r="424" spans="1:21">
      <c r="A424" s="395" t="s">
        <v>344</v>
      </c>
      <c r="B424" s="395" t="s">
        <v>343</v>
      </c>
      <c r="C424" s="395" t="s">
        <v>719</v>
      </c>
      <c r="D424" s="395" t="s">
        <v>273</v>
      </c>
      <c r="E424" s="537">
        <f>COUNTIF($D$5:D424,D424)</f>
        <v>3</v>
      </c>
      <c r="F424" s="537" t="str">
        <f t="shared" si="12"/>
        <v>Leeds3</v>
      </c>
      <c r="G424" s="541" t="str">
        <f t="shared" si="13"/>
        <v>NHS Leeds North CCG</v>
      </c>
      <c r="H424" s="546">
        <v>0.96407877250211427</v>
      </c>
      <c r="I424" s="546">
        <v>0.24112165347192843</v>
      </c>
      <c r="J424" s="384">
        <f>VLOOKUP($A424,'8.Non-elective admissions - CCG'!$D$5:$N$215,3,0)*$H424</f>
        <v>4023.1007176513226</v>
      </c>
      <c r="K424" s="384">
        <f>VLOOKUP($A424,'8.Non-elective admissions - CCG'!$D$5:$N$215,4,0)*$H424</f>
        <v>4021.1725601063185</v>
      </c>
      <c r="L424" s="384">
        <f>VLOOKUP($A424,'8.Non-elective admissions - CCG'!$D$5:$N$215,5,0)*$H424</f>
        <v>3789.7936547058112</v>
      </c>
      <c r="M424" s="384">
        <f>VLOOKUP($A424,'8.Non-elective admissions - CCG'!$D$5:$N$215,6,0)*$H424</f>
        <v>3956.5792823486768</v>
      </c>
      <c r="N424" s="384">
        <f>VLOOKUP($A424,'8.Non-elective admissions - CCG'!$D$5:$N$215,7,0)*$H424</f>
        <v>3674.007067806785</v>
      </c>
      <c r="O424" s="384">
        <f>VLOOKUP($A424,'8.Non-elective admissions - CCG'!$D$5:$N$215,8,0)*$H424</f>
        <v>3714.3807718928915</v>
      </c>
      <c r="P424" s="384">
        <f>VLOOKUP($A424,'8.Non-elective admissions - CCG'!$D$5:$N$215,9,0)*$H424</f>
        <v>3714.3807718928911</v>
      </c>
      <c r="Q424" s="384">
        <f>VLOOKUP($A424,'8.Non-elective admissions - CCG'!$D$5:$N$215,10,0)*$H424</f>
        <v>3633.6333638190149</v>
      </c>
      <c r="R424" s="384">
        <f>VLOOKUP($A424,'8.Non-elective admissions - CCG'!$D$5:$Q$215,11,0)*$H424</f>
        <v>3608.0591579391939</v>
      </c>
      <c r="S424" s="384">
        <f>VLOOKUP($A424,'8.Non-elective admissions - CCG'!$D$5:$Q$215,12,0)*$H424</f>
        <v>3647.7081596408771</v>
      </c>
      <c r="T424" s="384">
        <f>VLOOKUP($A424,'8.Non-elective admissions - CCG'!$D$5:$Q$215,13,0)*$H424</f>
        <v>3647.7081596408771</v>
      </c>
      <c r="U424" s="384">
        <f>VLOOKUP($A424,'8.Non-elective admissions - CCG'!$D$5:$Q$215,14,0)*$H424</f>
        <v>3568.4101561700254</v>
      </c>
    </row>
    <row r="425" spans="1:21">
      <c r="A425" s="395" t="s">
        <v>344</v>
      </c>
      <c r="B425" s="395" t="s">
        <v>343</v>
      </c>
      <c r="C425" s="395" t="s">
        <v>738</v>
      </c>
      <c r="D425" s="395" t="s">
        <v>330</v>
      </c>
      <c r="E425" s="537">
        <f>COUNTIF($D$5:D425,D425)</f>
        <v>11</v>
      </c>
      <c r="F425" s="537" t="str">
        <f t="shared" si="12"/>
        <v>North Yorkshire11</v>
      </c>
      <c r="G425" s="541" t="str">
        <f t="shared" si="13"/>
        <v>NHS Leeds North CCG</v>
      </c>
      <c r="H425" s="546">
        <v>2.9807901413555635E-2</v>
      </c>
      <c r="I425" s="546">
        <v>1.0112536397261351E-2</v>
      </c>
      <c r="J425" s="384">
        <f>VLOOKUP($A425,'8.Non-elective admissions - CCG'!$D$5:$N$215,3,0)*$H425</f>
        <v>124.38837259876766</v>
      </c>
      <c r="K425" s="384">
        <f>VLOOKUP($A425,'8.Non-elective admissions - CCG'!$D$5:$N$215,4,0)*$H425</f>
        <v>124.32875679594055</v>
      </c>
      <c r="L425" s="384">
        <f>VLOOKUP($A425,'8.Non-elective admissions - CCG'!$D$5:$N$215,5,0)*$H425</f>
        <v>117.1748604566872</v>
      </c>
      <c r="M425" s="384">
        <f>VLOOKUP($A425,'8.Non-elective admissions - CCG'!$D$5:$N$215,6,0)*$H425</f>
        <v>122.33162740123232</v>
      </c>
      <c r="N425" s="384">
        <f>VLOOKUP($A425,'8.Non-elective admissions - CCG'!$D$5:$N$215,7,0)*$H425</f>
        <v>113.59490904012317</v>
      </c>
      <c r="O425" s="384">
        <f>VLOOKUP($A425,'8.Non-elective admissions - CCG'!$D$5:$N$215,8,0)*$H425</f>
        <v>114.84320474522967</v>
      </c>
      <c r="P425" s="384">
        <f>VLOOKUP($A425,'8.Non-elective admissions - CCG'!$D$5:$N$215,9,0)*$H425</f>
        <v>114.84320474522966</v>
      </c>
      <c r="Q425" s="384">
        <f>VLOOKUP($A425,'8.Non-elective admissions - CCG'!$D$5:$N$215,10,0)*$H425</f>
        <v>112.34661333805708</v>
      </c>
      <c r="R425" s="384">
        <f>VLOOKUP($A425,'8.Non-elective admissions - CCG'!$D$5:$Q$215,11,0)*$H425</f>
        <v>111.55589640772034</v>
      </c>
      <c r="S425" s="384">
        <f>VLOOKUP($A425,'8.Non-elective admissions - CCG'!$D$5:$Q$215,12,0)*$H425</f>
        <v>112.78178537818525</v>
      </c>
      <c r="T425" s="384">
        <f>VLOOKUP($A425,'8.Non-elective admissions - CCG'!$D$5:$Q$215,13,0)*$H425</f>
        <v>112.78178537818525</v>
      </c>
      <c r="U425" s="384">
        <f>VLOOKUP($A425,'8.Non-elective admissions - CCG'!$D$5:$Q$215,14,0)*$H425</f>
        <v>110.33000743516891</v>
      </c>
    </row>
    <row r="426" spans="1:21">
      <c r="A426" s="395" t="s">
        <v>347</v>
      </c>
      <c r="B426" s="395" t="s">
        <v>346</v>
      </c>
      <c r="C426" s="395" t="s">
        <v>719</v>
      </c>
      <c r="D426" s="395" t="s">
        <v>273</v>
      </c>
      <c r="E426" s="537">
        <f>COUNTIF($D$5:D426,D426)</f>
        <v>4</v>
      </c>
      <c r="F426" s="537" t="str">
        <f t="shared" si="12"/>
        <v>Leeds4</v>
      </c>
      <c r="G426" s="541" t="str">
        <f t="shared" si="13"/>
        <v>NHS Leeds South and East CCG</v>
      </c>
      <c r="H426" s="546">
        <v>0.98497270308494322</v>
      </c>
      <c r="I426" s="546">
        <v>0.31903305735178578</v>
      </c>
      <c r="J426" s="384">
        <f>VLOOKUP($A426,'8.Non-elective admissions - CCG'!$D$5:$N$215,3,0)*$H426</f>
        <v>6724.4086439609073</v>
      </c>
      <c r="K426" s="384">
        <f>VLOOKUP($A426,'8.Non-elective admissions - CCG'!$D$5:$N$215,4,0)*$H426</f>
        <v>6577.6477112012508</v>
      </c>
      <c r="L426" s="384">
        <f>VLOOKUP($A426,'8.Non-elective admissions - CCG'!$D$5:$N$215,5,0)*$H426</f>
        <v>6489.9851406266907</v>
      </c>
      <c r="M426" s="384">
        <f>VLOOKUP($A426,'8.Non-elective admissions - CCG'!$D$5:$N$215,6,0)*$H426</f>
        <v>6332.3895081331002</v>
      </c>
      <c r="N426" s="384">
        <f>VLOOKUP($A426,'8.Non-elective admissions - CCG'!$D$5:$N$215,7,0)*$H426</f>
        <v>5925.4865306109114</v>
      </c>
      <c r="O426" s="384">
        <f>VLOOKUP($A426,'8.Non-elective admissions - CCG'!$D$5:$N$215,8,0)*$H426</f>
        <v>5990.6017672293783</v>
      </c>
      <c r="P426" s="384">
        <f>VLOOKUP($A426,'8.Non-elective admissions - CCG'!$D$5:$N$215,9,0)*$H426</f>
        <v>5990.6017672293783</v>
      </c>
      <c r="Q426" s="384">
        <f>VLOOKUP($A426,'8.Non-elective admissions - CCG'!$D$5:$N$215,10,0)*$H426</f>
        <v>5860.3712940988207</v>
      </c>
      <c r="R426" s="384">
        <f>VLOOKUP($A426,'8.Non-elective admissions - CCG'!$D$5:$Q$215,11,0)*$H426</f>
        <v>5817.5468865195662</v>
      </c>
      <c r="S426" s="384">
        <f>VLOOKUP($A426,'8.Non-elective admissions - CCG'!$D$5:$Q$215,12,0)*$H426</f>
        <v>5881.4759731919858</v>
      </c>
      <c r="T426" s="384">
        <f>VLOOKUP($A426,'8.Non-elective admissions - CCG'!$D$5:$Q$215,13,0)*$H426</f>
        <v>5881.4759731919858</v>
      </c>
      <c r="U426" s="384">
        <f>VLOOKUP($A426,'8.Non-elective admissions - CCG'!$D$5:$Q$215,14,0)*$H426</f>
        <v>5753.6177998372932</v>
      </c>
    </row>
    <row r="427" spans="1:21">
      <c r="A427" s="395" t="s">
        <v>347</v>
      </c>
      <c r="B427" s="395" t="s">
        <v>346</v>
      </c>
      <c r="C427" s="395" t="s">
        <v>738</v>
      </c>
      <c r="D427" s="395" t="s">
        <v>330</v>
      </c>
      <c r="E427" s="537">
        <f>COUNTIF($D$5:D427,D427)</f>
        <v>12</v>
      </c>
      <c r="F427" s="537" t="str">
        <f t="shared" si="12"/>
        <v>North Yorkshire12</v>
      </c>
      <c r="G427" s="541" t="str">
        <f t="shared" si="13"/>
        <v>NHS Leeds South and East CCG</v>
      </c>
      <c r="H427" s="546">
        <v>5.1981685132043935E-3</v>
      </c>
      <c r="I427" s="546">
        <v>2.2838461740248154E-3</v>
      </c>
      <c r="J427" s="384">
        <f>VLOOKUP($A427,'8.Non-elective admissions - CCG'!$D$5:$N$215,3,0)*$H427</f>
        <v>35.487896439646391</v>
      </c>
      <c r="K427" s="384">
        <f>VLOOKUP($A427,'8.Non-elective admissions - CCG'!$D$5:$N$215,4,0)*$H427</f>
        <v>34.713369331178939</v>
      </c>
      <c r="L427" s="384">
        <f>VLOOKUP($A427,'8.Non-elective admissions - CCG'!$D$5:$N$215,5,0)*$H427</f>
        <v>34.250732333503748</v>
      </c>
      <c r="M427" s="384">
        <f>VLOOKUP($A427,'8.Non-elective admissions - CCG'!$D$5:$N$215,6,0)*$H427</f>
        <v>33.419025371391044</v>
      </c>
      <c r="N427" s="384">
        <f>VLOOKUP($A427,'8.Non-elective admissions - CCG'!$D$5:$N$215,7,0)*$H427</f>
        <v>31.271605205268386</v>
      </c>
      <c r="O427" s="384">
        <f>VLOOKUP($A427,'8.Non-elective admissions - CCG'!$D$5:$N$215,8,0)*$H427</f>
        <v>31.615249218609915</v>
      </c>
      <c r="P427" s="384">
        <f>VLOOKUP($A427,'8.Non-elective admissions - CCG'!$D$5:$N$215,9,0)*$H427</f>
        <v>31.615249218609915</v>
      </c>
      <c r="Q427" s="384">
        <f>VLOOKUP($A427,'8.Non-elective admissions - CCG'!$D$5:$N$215,10,0)*$H427</f>
        <v>30.927961192488251</v>
      </c>
      <c r="R427" s="384">
        <f>VLOOKUP($A427,'8.Non-elective admissions - CCG'!$D$5:$Q$215,11,0)*$H427</f>
        <v>30.701956465273067</v>
      </c>
      <c r="S427" s="384">
        <f>VLOOKUP($A427,'8.Non-elective admissions - CCG'!$D$5:$Q$215,12,0)*$H427</f>
        <v>31.039340602292985</v>
      </c>
      <c r="T427" s="384">
        <f>VLOOKUP($A427,'8.Non-elective admissions - CCG'!$D$5:$Q$215,13,0)*$H427</f>
        <v>31.039340602292985</v>
      </c>
      <c r="U427" s="384">
        <f>VLOOKUP($A427,'8.Non-elective admissions - CCG'!$D$5:$Q$215,14,0)*$H427</f>
        <v>30.364572328201152</v>
      </c>
    </row>
    <row r="428" spans="1:21">
      <c r="A428" s="395" t="s">
        <v>347</v>
      </c>
      <c r="B428" s="395" t="s">
        <v>346</v>
      </c>
      <c r="C428" s="395" t="s">
        <v>784</v>
      </c>
      <c r="D428" s="395" t="s">
        <v>468</v>
      </c>
      <c r="E428" s="537">
        <f>COUNTIF($D$5:D428,D428)</f>
        <v>2</v>
      </c>
      <c r="F428" s="537" t="str">
        <f t="shared" si="12"/>
        <v>Wakefield2</v>
      </c>
      <c r="G428" s="541" t="str">
        <f t="shared" si="13"/>
        <v>NHS Leeds South and East CCG</v>
      </c>
      <c r="H428" s="546">
        <v>9.8291284018523842E-3</v>
      </c>
      <c r="I428" s="546">
        <v>7.6053312390279952E-3</v>
      </c>
      <c r="J428" s="384">
        <f>VLOOKUP($A428,'8.Non-elective admissions - CCG'!$D$5:$N$215,3,0)*$H428</f>
        <v>67.103459599446225</v>
      </c>
      <c r="K428" s="384">
        <f>VLOOKUP($A428,'8.Non-elective admissions - CCG'!$D$5:$N$215,4,0)*$H428</f>
        <v>65.638919467570219</v>
      </c>
      <c r="L428" s="384">
        <f>VLOOKUP($A428,'8.Non-elective admissions - CCG'!$D$5:$N$215,5,0)*$H428</f>
        <v>64.764127039805359</v>
      </c>
      <c r="M428" s="384">
        <f>VLOOKUP($A428,'8.Non-elective admissions - CCG'!$D$5:$N$215,6,0)*$H428</f>
        <v>63.191466495508976</v>
      </c>
      <c r="N428" s="384">
        <f>VLOOKUP($A428,'8.Non-elective admissions - CCG'!$D$5:$N$215,7,0)*$H428</f>
        <v>59.130946238820471</v>
      </c>
      <c r="O428" s="384">
        <f>VLOOKUP($A428,'8.Non-elective admissions - CCG'!$D$5:$N$215,8,0)*$H428</f>
        <v>59.78073685701257</v>
      </c>
      <c r="P428" s="384">
        <f>VLOOKUP($A428,'8.Non-elective admissions - CCG'!$D$5:$N$215,9,0)*$H428</f>
        <v>59.78073685701257</v>
      </c>
      <c r="Q428" s="384">
        <f>VLOOKUP($A428,'8.Non-elective admissions - CCG'!$D$5:$N$215,10,0)*$H428</f>
        <v>58.481155621689908</v>
      </c>
      <c r="R428" s="384">
        <f>VLOOKUP($A428,'8.Non-elective admissions - CCG'!$D$5:$Q$215,11,0)*$H428</f>
        <v>58.053807128161701</v>
      </c>
      <c r="S428" s="384">
        <f>VLOOKUP($A428,'8.Non-elective admissions - CCG'!$D$5:$Q$215,12,0)*$H428</f>
        <v>58.691761052720537</v>
      </c>
      <c r="T428" s="384">
        <f>VLOOKUP($A428,'8.Non-elective admissions - CCG'!$D$5:$Q$215,13,0)*$H428</f>
        <v>58.691761052720537</v>
      </c>
      <c r="U428" s="384">
        <f>VLOOKUP($A428,'8.Non-elective admissions - CCG'!$D$5:$Q$215,14,0)*$H428</f>
        <v>57.415853203504547</v>
      </c>
    </row>
    <row r="429" spans="1:21">
      <c r="A429" s="395" t="s">
        <v>350</v>
      </c>
      <c r="B429" s="395" t="s">
        <v>349</v>
      </c>
      <c r="C429" s="395" t="s">
        <v>662</v>
      </c>
      <c r="D429" s="395" t="s">
        <v>68</v>
      </c>
      <c r="E429" s="537">
        <f>COUNTIF($D$5:D429,D429)</f>
        <v>6</v>
      </c>
      <c r="F429" s="537" t="str">
        <f t="shared" si="12"/>
        <v>Bradford6</v>
      </c>
      <c r="G429" s="541" t="str">
        <f t="shared" si="13"/>
        <v>NHS Leeds West CCG</v>
      </c>
      <c r="H429" s="546">
        <v>1.6586215958285504E-2</v>
      </c>
      <c r="I429" s="546">
        <v>1.0674908446102929E-2</v>
      </c>
      <c r="J429" s="384">
        <f>VLOOKUP($A429,'8.Non-elective admissions - CCG'!$D$5:$N$215,3,0)*$H429</f>
        <v>120.93010055185961</v>
      </c>
      <c r="K429" s="384">
        <f>VLOOKUP($A429,'8.Non-elective admissions - CCG'!$D$5:$N$215,4,0)*$H429</f>
        <v>122.50579106789674</v>
      </c>
      <c r="L429" s="384">
        <f>VLOOKUP($A429,'8.Non-elective admissions - CCG'!$D$5:$N$215,5,0)*$H429</f>
        <v>119.37099625178078</v>
      </c>
      <c r="M429" s="384">
        <f>VLOOKUP($A429,'8.Non-elective admissions - CCG'!$D$5:$N$215,6,0)*$H429</f>
        <v>119.96810002627906</v>
      </c>
      <c r="N429" s="384">
        <f>VLOOKUP($A429,'8.Non-elective admissions - CCG'!$D$5:$N$215,7,0)*$H429</f>
        <v>110.42253904689667</v>
      </c>
      <c r="O429" s="384">
        <f>VLOOKUP($A429,'8.Non-elective admissions - CCG'!$D$5:$N$215,8,0)*$H429</f>
        <v>111.63597354142595</v>
      </c>
      <c r="P429" s="384">
        <f>VLOOKUP($A429,'8.Non-elective admissions - CCG'!$D$5:$N$215,9,0)*$H429</f>
        <v>111.63597354142595</v>
      </c>
      <c r="Q429" s="384">
        <f>VLOOKUP($A429,'8.Non-elective admissions - CCG'!$D$5:$N$215,10,0)*$H429</f>
        <v>109.20910455205227</v>
      </c>
      <c r="R429" s="384">
        <f>VLOOKUP($A429,'8.Non-elective admissions - CCG'!$D$5:$Q$215,11,0)*$H429</f>
        <v>108.38102318716072</v>
      </c>
      <c r="S429" s="384">
        <f>VLOOKUP($A429,'8.Non-elective admissions - CCG'!$D$5:$Q$215,12,0)*$H429</f>
        <v>109.57202344138234</v>
      </c>
      <c r="T429" s="384">
        <f>VLOOKUP($A429,'8.Non-elective admissions - CCG'!$D$5:$Q$215,13,0)*$H429</f>
        <v>109.57202344138234</v>
      </c>
      <c r="U429" s="384">
        <f>VLOOKUP($A429,'8.Non-elective admissions - CCG'!$D$5:$Q$215,14,0)*$H429</f>
        <v>107.19002293159561</v>
      </c>
    </row>
    <row r="430" spans="1:21">
      <c r="A430" s="395" t="s">
        <v>350</v>
      </c>
      <c r="B430" s="395" t="s">
        <v>349</v>
      </c>
      <c r="C430" s="395" t="s">
        <v>715</v>
      </c>
      <c r="D430" s="395" t="s">
        <v>261</v>
      </c>
      <c r="E430" s="537">
        <f>COUNTIF($D$5:D430,D430)</f>
        <v>5</v>
      </c>
      <c r="F430" s="537" t="str">
        <f t="shared" si="12"/>
        <v>Kirklees5</v>
      </c>
      <c r="G430" s="541" t="str">
        <f t="shared" si="13"/>
        <v>NHS Leeds West CCG</v>
      </c>
      <c r="H430" s="546">
        <v>2.5117218295735884E-3</v>
      </c>
      <c r="I430" s="546">
        <v>2.0689639457967899E-3</v>
      </c>
      <c r="J430" s="384">
        <f>VLOOKUP($A430,'8.Non-elective admissions - CCG'!$D$5:$N$215,3,0)*$H430</f>
        <v>18.312963859421032</v>
      </c>
      <c r="K430" s="384">
        <f>VLOOKUP($A430,'8.Non-elective admissions - CCG'!$D$5:$N$215,4,0)*$H430</f>
        <v>18.551577433230523</v>
      </c>
      <c r="L430" s="384">
        <f>VLOOKUP($A430,'8.Non-elective admissions - CCG'!$D$5:$N$215,5,0)*$H430</f>
        <v>18.076862007441115</v>
      </c>
      <c r="M430" s="384">
        <f>VLOOKUP($A430,'8.Non-elective admissions - CCG'!$D$5:$N$215,6,0)*$H430</f>
        <v>18.167283993305766</v>
      </c>
      <c r="N430" s="384">
        <f>VLOOKUP($A430,'8.Non-elective admissions - CCG'!$D$5:$N$215,7,0)*$H430</f>
        <v>16.721758748262534</v>
      </c>
      <c r="O430" s="384">
        <f>VLOOKUP($A430,'8.Non-elective admissions - CCG'!$D$5:$N$215,8,0)*$H430</f>
        <v>16.905514338828343</v>
      </c>
      <c r="P430" s="384">
        <f>VLOOKUP($A430,'8.Non-elective admissions - CCG'!$D$5:$N$215,9,0)*$H430</f>
        <v>16.905514338828343</v>
      </c>
      <c r="Q430" s="384">
        <f>VLOOKUP($A430,'8.Non-elective admissions - CCG'!$D$5:$N$215,10,0)*$H430</f>
        <v>16.538003157649005</v>
      </c>
      <c r="R430" s="384">
        <f>VLOOKUP($A430,'8.Non-elective admissions - CCG'!$D$5:$Q$215,11,0)*$H430</f>
        <v>16.412603244486643</v>
      </c>
      <c r="S430" s="384">
        <f>VLOOKUP($A430,'8.Non-elective admissions - CCG'!$D$5:$Q$215,12,0)*$H430</f>
        <v>16.592961521810398</v>
      </c>
      <c r="T430" s="384">
        <f>VLOOKUP($A430,'8.Non-elective admissions - CCG'!$D$5:$Q$215,13,0)*$H430</f>
        <v>16.592961521810398</v>
      </c>
      <c r="U430" s="384">
        <f>VLOOKUP($A430,'8.Non-elective admissions - CCG'!$D$5:$Q$215,14,0)*$H430</f>
        <v>16.232244966959438</v>
      </c>
    </row>
    <row r="431" spans="1:21">
      <c r="A431" s="395" t="s">
        <v>350</v>
      </c>
      <c r="B431" s="395" t="s">
        <v>349</v>
      </c>
      <c r="C431" s="395" t="s">
        <v>719</v>
      </c>
      <c r="D431" s="395" t="s">
        <v>273</v>
      </c>
      <c r="E431" s="537">
        <f>COUNTIF($D$5:D431,D431)</f>
        <v>5</v>
      </c>
      <c r="F431" s="537" t="str">
        <f t="shared" si="12"/>
        <v>Leeds5</v>
      </c>
      <c r="G431" s="541" t="str">
        <f t="shared" si="13"/>
        <v>NHS Leeds West CCG</v>
      </c>
      <c r="H431" s="546">
        <v>0.97935851509660998</v>
      </c>
      <c r="I431" s="546">
        <v>0.42792409500211515</v>
      </c>
      <c r="J431" s="384">
        <f>VLOOKUP($A431,'8.Non-elective admissions - CCG'!$D$5:$N$215,3,0)*$H431</f>
        <v>7140.5029335693835</v>
      </c>
      <c r="K431" s="384">
        <f>VLOOKUP($A431,'8.Non-elective admissions - CCG'!$D$5:$N$215,4,0)*$H431</f>
        <v>7233.5419925035612</v>
      </c>
      <c r="L431" s="384">
        <f>VLOOKUP($A431,'8.Non-elective admissions - CCG'!$D$5:$N$215,5,0)*$H431</f>
        <v>7048.4432331503021</v>
      </c>
      <c r="M431" s="384">
        <f>VLOOKUP($A431,'8.Non-elective admissions - CCG'!$D$5:$N$215,6,0)*$H431</f>
        <v>7083.7001396937803</v>
      </c>
      <c r="N431" s="384">
        <f>VLOOKUP($A431,'8.Non-elective admissions - CCG'!$D$5:$N$215,7,0)*$H431</f>
        <v>6520.0678772148813</v>
      </c>
      <c r="O431" s="384">
        <f>VLOOKUP($A431,'8.Non-elective admissions - CCG'!$D$5:$N$215,8,0)*$H431</f>
        <v>6591.7169747376684</v>
      </c>
      <c r="P431" s="384">
        <f>VLOOKUP($A431,'8.Non-elective admissions - CCG'!$D$5:$N$215,9,0)*$H431</f>
        <v>6591.7169747376684</v>
      </c>
      <c r="Q431" s="384">
        <f>VLOOKUP($A431,'8.Non-elective admissions - CCG'!$D$5:$N$215,10,0)*$H431</f>
        <v>6448.4187796734877</v>
      </c>
      <c r="R431" s="384">
        <f>VLOOKUP($A431,'8.Non-elective admissions - CCG'!$D$5:$Q$215,11,0)*$H431</f>
        <v>6399.5234476737714</v>
      </c>
      <c r="S431" s="384">
        <f>VLOOKUP($A431,'8.Non-elective admissions - CCG'!$D$5:$Q$215,12,0)*$H431</f>
        <v>6469.8478811303066</v>
      </c>
      <c r="T431" s="384">
        <f>VLOOKUP($A431,'8.Non-elective admissions - CCG'!$D$5:$Q$215,13,0)*$H431</f>
        <v>6469.8478811303066</v>
      </c>
      <c r="U431" s="384">
        <f>VLOOKUP($A431,'8.Non-elective admissions - CCG'!$D$5:$Q$215,14,0)*$H431</f>
        <v>6329.1990141379083</v>
      </c>
    </row>
    <row r="432" spans="1:21">
      <c r="A432" s="395" t="s">
        <v>350</v>
      </c>
      <c r="B432" s="395" t="s">
        <v>349</v>
      </c>
      <c r="C432" s="395" t="s">
        <v>784</v>
      </c>
      <c r="D432" s="395" t="s">
        <v>468</v>
      </c>
      <c r="E432" s="537">
        <f>COUNTIF($D$5:D432,D432)</f>
        <v>3</v>
      </c>
      <c r="F432" s="537" t="str">
        <f t="shared" si="12"/>
        <v>Wakefield3</v>
      </c>
      <c r="G432" s="541" t="str">
        <f t="shared" si="13"/>
        <v>NHS Leeds West CCG</v>
      </c>
      <c r="H432" s="546">
        <v>1.5435471155309055E-3</v>
      </c>
      <c r="I432" s="546">
        <v>1.6111521759216484E-3</v>
      </c>
      <c r="J432" s="384">
        <f>VLOOKUP($A432,'8.Non-elective admissions - CCG'!$D$5:$N$215,3,0)*$H432</f>
        <v>11.254002019335832</v>
      </c>
      <c r="K432" s="384">
        <f>VLOOKUP($A432,'8.Non-elective admissions - CCG'!$D$5:$N$215,4,0)*$H432</f>
        <v>11.400638995311269</v>
      </c>
      <c r="L432" s="384">
        <f>VLOOKUP($A432,'8.Non-elective admissions - CCG'!$D$5:$N$215,5,0)*$H432</f>
        <v>11.108908590475927</v>
      </c>
      <c r="M432" s="384">
        <f>VLOOKUP($A432,'8.Non-elective admissions - CCG'!$D$5:$N$215,6,0)*$H432</f>
        <v>11.16447628663504</v>
      </c>
      <c r="N432" s="384">
        <f>VLOOKUP($A432,'8.Non-elective admissions - CCG'!$D$5:$N$215,7,0)*$H432</f>
        <v>10.276146895958695</v>
      </c>
      <c r="O432" s="384">
        <f>VLOOKUP($A432,'8.Non-elective admissions - CCG'!$D$5:$N$215,8,0)*$H432</f>
        <v>10.389071587077328</v>
      </c>
      <c r="P432" s="384">
        <f>VLOOKUP($A432,'8.Non-elective admissions - CCG'!$D$5:$N$215,9,0)*$H432</f>
        <v>10.389071587077328</v>
      </c>
      <c r="Q432" s="384">
        <f>VLOOKUP($A432,'8.Non-elective admissions - CCG'!$D$5:$N$215,10,0)*$H432</f>
        <v>10.163222204810731</v>
      </c>
      <c r="R432" s="384">
        <f>VLOOKUP($A432,'8.Non-elective admissions - CCG'!$D$5:$Q$215,11,0)*$H432</f>
        <v>10.086159262580999</v>
      </c>
      <c r="S432" s="384">
        <f>VLOOKUP($A432,'8.Non-elective admissions - CCG'!$D$5:$Q$215,12,0)*$H432</f>
        <v>10.196996177500223</v>
      </c>
      <c r="T432" s="384">
        <f>VLOOKUP($A432,'8.Non-elective admissions - CCG'!$D$5:$Q$215,13,0)*$H432</f>
        <v>10.196996177500223</v>
      </c>
      <c r="U432" s="384">
        <f>VLOOKUP($A432,'8.Non-elective admissions - CCG'!$D$5:$Q$215,14,0)*$H432</f>
        <v>9.9753223475367481</v>
      </c>
    </row>
    <row r="433" spans="1:21">
      <c r="A433" s="395" t="s">
        <v>353</v>
      </c>
      <c r="B433" s="395" t="s">
        <v>352</v>
      </c>
      <c r="C433" s="395" t="s">
        <v>720</v>
      </c>
      <c r="D433" s="395" t="s">
        <v>276</v>
      </c>
      <c r="E433" s="537">
        <f>COUNTIF($D$5:D433,D433)</f>
        <v>2</v>
      </c>
      <c r="F433" s="537" t="str">
        <f t="shared" si="12"/>
        <v>Leicester2</v>
      </c>
      <c r="G433" s="541" t="str">
        <f t="shared" si="13"/>
        <v>NHS Leicester City CCG</v>
      </c>
      <c r="H433" s="546">
        <v>0.92504314406411792</v>
      </c>
      <c r="I433" s="546">
        <v>0.95012900016040047</v>
      </c>
      <c r="J433" s="384">
        <f>VLOOKUP($A433,'8.Non-elective admissions - CCG'!$D$5:$N$215,3,0)*$H433</f>
        <v>6828.6684894813188</v>
      </c>
      <c r="K433" s="384">
        <f>VLOOKUP($A433,'8.Non-elective admissions - CCG'!$D$5:$N$215,4,0)*$H433</f>
        <v>6761.1403399646379</v>
      </c>
      <c r="L433" s="384">
        <f>VLOOKUP($A433,'8.Non-elective admissions - CCG'!$D$5:$N$215,5,0)*$H433</f>
        <v>7171.8594959291058</v>
      </c>
      <c r="M433" s="384">
        <f>VLOOKUP($A433,'8.Non-elective admissions - CCG'!$D$5:$N$215,6,0)*$H433</f>
        <v>7876.7423717059637</v>
      </c>
      <c r="N433" s="384">
        <f>VLOOKUP($A433,'8.Non-elective admissions - CCG'!$D$5:$N$215,7,0)*$H433</f>
        <v>6286.5932070597455</v>
      </c>
      <c r="O433" s="384">
        <f>VLOOKUP($A433,'8.Non-elective admissions - CCG'!$D$5:$N$215,8,0)*$H433</f>
        <v>6687.1368884395088</v>
      </c>
      <c r="P433" s="384">
        <f>VLOOKUP($A433,'8.Non-elective admissions - CCG'!$D$5:$N$215,9,0)*$H433</f>
        <v>6615.9085663465712</v>
      </c>
      <c r="Q433" s="384">
        <f>VLOOKUP($A433,'8.Non-elective admissions - CCG'!$D$5:$N$215,10,0)*$H433</f>
        <v>6503.0533027707488</v>
      </c>
      <c r="R433" s="384">
        <f>VLOOKUP($A433,'8.Non-elective admissions - CCG'!$D$5:$Q$215,11,0)*$H433</f>
        <v>5997.0547029676763</v>
      </c>
      <c r="S433" s="384">
        <f>VLOOKUP($A433,'8.Non-elective admissions - CCG'!$D$5:$Q$215,12,0)*$H433</f>
        <v>6379.0975214661576</v>
      </c>
      <c r="T433" s="384">
        <f>VLOOKUP($A433,'8.Non-elective admissions - CCG'!$D$5:$Q$215,13,0)*$H433</f>
        <v>6309.7192856613483</v>
      </c>
      <c r="U433" s="384">
        <f>VLOOKUP($A433,'8.Non-elective admissions - CCG'!$D$5:$Q$215,14,0)*$H433</f>
        <v>6299.5438110766427</v>
      </c>
    </row>
    <row r="434" spans="1:21">
      <c r="A434" s="395" t="s">
        <v>353</v>
      </c>
      <c r="B434" s="395" t="s">
        <v>352</v>
      </c>
      <c r="C434" s="395" t="s">
        <v>721</v>
      </c>
      <c r="D434" s="395" t="s">
        <v>279</v>
      </c>
      <c r="E434" s="537">
        <f>COUNTIF($D$5:D434,D434)</f>
        <v>3</v>
      </c>
      <c r="F434" s="537" t="str">
        <f t="shared" si="12"/>
        <v>Leicestershire3</v>
      </c>
      <c r="G434" s="541" t="str">
        <f t="shared" si="13"/>
        <v>NHS Leicester City CCG</v>
      </c>
      <c r="H434" s="546">
        <v>7.4956855935882097E-2</v>
      </c>
      <c r="I434" s="546">
        <v>4.1578939640869776E-2</v>
      </c>
      <c r="J434" s="384">
        <f>VLOOKUP($A434,'8.Non-elective admissions - CCG'!$D$5:$N$215,3,0)*$H434</f>
        <v>553.33151051868163</v>
      </c>
      <c r="K434" s="384">
        <f>VLOOKUP($A434,'8.Non-elective admissions - CCG'!$D$5:$N$215,4,0)*$H434</f>
        <v>547.85966003536225</v>
      </c>
      <c r="L434" s="384">
        <f>VLOOKUP($A434,'8.Non-elective admissions - CCG'!$D$5:$N$215,5,0)*$H434</f>
        <v>581.14050407089394</v>
      </c>
      <c r="M434" s="384">
        <f>VLOOKUP($A434,'8.Non-elective admissions - CCG'!$D$5:$N$215,6,0)*$H434</f>
        <v>638.25762829403607</v>
      </c>
      <c r="N434" s="384">
        <f>VLOOKUP($A434,'8.Non-elective admissions - CCG'!$D$5:$N$215,7,0)*$H434</f>
        <v>509.40679294025472</v>
      </c>
      <c r="O434" s="384">
        <f>VLOOKUP($A434,'8.Non-elective admissions - CCG'!$D$5:$N$215,8,0)*$H434</f>
        <v>541.86311156049169</v>
      </c>
      <c r="P434" s="384">
        <f>VLOOKUP($A434,'8.Non-elective admissions - CCG'!$D$5:$N$215,9,0)*$H434</f>
        <v>536.09143365342879</v>
      </c>
      <c r="Q434" s="384">
        <f>VLOOKUP($A434,'8.Non-elective admissions - CCG'!$D$5:$N$215,10,0)*$H434</f>
        <v>526.94669722925119</v>
      </c>
      <c r="R434" s="384">
        <f>VLOOKUP($A434,'8.Non-elective admissions - CCG'!$D$5:$Q$215,11,0)*$H434</f>
        <v>485.94529703232365</v>
      </c>
      <c r="S434" s="384">
        <f>VLOOKUP($A434,'8.Non-elective admissions - CCG'!$D$5:$Q$215,12,0)*$H434</f>
        <v>516.9024785338429</v>
      </c>
      <c r="T434" s="384">
        <f>VLOOKUP($A434,'8.Non-elective admissions - CCG'!$D$5:$Q$215,13,0)*$H434</f>
        <v>511.28071433865176</v>
      </c>
      <c r="U434" s="384">
        <f>VLOOKUP($A434,'8.Non-elective admissions - CCG'!$D$5:$Q$215,14,0)*$H434</f>
        <v>510.4561889233571</v>
      </c>
    </row>
    <row r="435" spans="1:21">
      <c r="A435" s="395" t="s">
        <v>356</v>
      </c>
      <c r="B435" s="395" t="s">
        <v>355</v>
      </c>
      <c r="C435" s="395" t="s">
        <v>666</v>
      </c>
      <c r="D435" s="395" t="s">
        <v>83</v>
      </c>
      <c r="E435" s="537">
        <f>COUNTIF($D$5:D435,D435)</f>
        <v>5</v>
      </c>
      <c r="F435" s="537" t="str">
        <f t="shared" si="12"/>
        <v>Bromley5</v>
      </c>
      <c r="G435" s="541" t="str">
        <f t="shared" si="13"/>
        <v>NHS Lewisham CCG</v>
      </c>
      <c r="H435" s="546">
        <v>1.9310987636898293E-2</v>
      </c>
      <c r="I435" s="546">
        <v>1.811024349105414E-2</v>
      </c>
      <c r="J435" s="384">
        <f>VLOOKUP($A435,'8.Non-elective admissions - CCG'!$D$5:$N$215,3,0)*$H435</f>
        <v>117.06320705487745</v>
      </c>
      <c r="K435" s="384">
        <f>VLOOKUP($A435,'8.Non-elective admissions - CCG'!$D$5:$N$215,4,0)*$H435</f>
        <v>122.95305828413143</v>
      </c>
      <c r="L435" s="384">
        <f>VLOOKUP($A435,'8.Non-elective admissions - CCG'!$D$5:$N$215,5,0)*$H435</f>
        <v>117.81633557271648</v>
      </c>
      <c r="M435" s="384">
        <f>VLOOKUP($A435,'8.Non-elective admissions - CCG'!$D$5:$N$215,6,0)*$H435</f>
        <v>113.87689409478924</v>
      </c>
      <c r="N435" s="384">
        <f>VLOOKUP($A435,'8.Non-elective admissions - CCG'!$D$5:$N$215,7,0)*$H435</f>
        <v>122.02004659558315</v>
      </c>
      <c r="O435" s="384">
        <f>VLOOKUP($A435,'8.Non-elective admissions - CCG'!$D$5:$N$215,8,0)*$H435</f>
        <v>124.99896483966168</v>
      </c>
      <c r="P435" s="384">
        <f>VLOOKUP($A435,'8.Non-elective admissions - CCG'!$D$5:$N$215,9,0)*$H435</f>
        <v>123.70512866798951</v>
      </c>
      <c r="Q435" s="384">
        <f>VLOOKUP($A435,'8.Non-elective admissions - CCG'!$D$5:$N$215,10,0)*$H435</f>
        <v>121.01084909046823</v>
      </c>
      <c r="R435" s="384">
        <f>VLOOKUP($A435,'8.Non-elective admissions - CCG'!$D$5:$Q$215,11,0)*$H435</f>
        <v>122.10791158933102</v>
      </c>
      <c r="S435" s="384">
        <f>VLOOKUP($A435,'8.Non-elective admissions - CCG'!$D$5:$Q$215,12,0)*$H435</f>
        <v>125.08779538279141</v>
      </c>
      <c r="T435" s="384">
        <f>VLOOKUP($A435,'8.Non-elective admissions - CCG'!$D$5:$Q$215,13,0)*$H435</f>
        <v>123.79395921111922</v>
      </c>
      <c r="U435" s="384">
        <f>VLOOKUP($A435,'8.Non-elective admissions - CCG'!$D$5:$Q$215,14,0)*$H435</f>
        <v>121.09774853483427</v>
      </c>
    </row>
    <row r="436" spans="1:21">
      <c r="A436" s="395" t="s">
        <v>356</v>
      </c>
      <c r="B436" s="395" t="s">
        <v>355</v>
      </c>
      <c r="C436" s="395" t="s">
        <v>695</v>
      </c>
      <c r="D436" s="395" t="s">
        <v>192</v>
      </c>
      <c r="E436" s="537">
        <f>COUNTIF($D$5:D436,D436)</f>
        <v>4</v>
      </c>
      <c r="F436" s="537" t="str">
        <f t="shared" si="12"/>
        <v>Greenwich4</v>
      </c>
      <c r="G436" s="541" t="str">
        <f t="shared" si="13"/>
        <v>NHS Lewisham CCG</v>
      </c>
      <c r="H436" s="546">
        <v>3.6803775554075033E-2</v>
      </c>
      <c r="I436" s="546">
        <v>4.4271265130160831E-2</v>
      </c>
      <c r="J436" s="384">
        <f>VLOOKUP($A436,'8.Non-elective admissions - CCG'!$D$5:$N$215,3,0)*$H436</f>
        <v>223.10448740880284</v>
      </c>
      <c r="K436" s="384">
        <f>VLOOKUP($A436,'8.Non-elective admissions - CCG'!$D$5:$N$215,4,0)*$H436</f>
        <v>234.32963895279573</v>
      </c>
      <c r="L436" s="384">
        <f>VLOOKUP($A436,'8.Non-elective admissions - CCG'!$D$5:$N$215,5,0)*$H436</f>
        <v>224.53983465541177</v>
      </c>
      <c r="M436" s="384">
        <f>VLOOKUP($A436,'8.Non-elective admissions - CCG'!$D$5:$N$215,6,0)*$H436</f>
        <v>217.03186444238048</v>
      </c>
      <c r="N436" s="384">
        <f>VLOOKUP($A436,'8.Non-elective admissions - CCG'!$D$5:$N$215,7,0)*$H436</f>
        <v>232.55146201952238</v>
      </c>
      <c r="O436" s="384">
        <f>VLOOKUP($A436,'8.Non-elective admissions - CCG'!$D$5:$N$215,8,0)*$H436</f>
        <v>238.22882252072847</v>
      </c>
      <c r="P436" s="384">
        <f>VLOOKUP($A436,'8.Non-elective admissions - CCG'!$D$5:$N$215,9,0)*$H436</f>
        <v>235.76296955860548</v>
      </c>
      <c r="Q436" s="384">
        <f>VLOOKUP($A436,'8.Non-elective admissions - CCG'!$D$5:$N$215,10,0)*$H436</f>
        <v>230.62808662483189</v>
      </c>
      <c r="R436" s="384">
        <f>VLOOKUP($A436,'8.Non-elective admissions - CCG'!$D$5:$Q$215,11,0)*$H436</f>
        <v>232.71891919829338</v>
      </c>
      <c r="S436" s="384">
        <f>VLOOKUP($A436,'8.Non-elective admissions - CCG'!$D$5:$Q$215,12,0)*$H436</f>
        <v>238.39811988827722</v>
      </c>
      <c r="T436" s="384">
        <f>VLOOKUP($A436,'8.Non-elective admissions - CCG'!$D$5:$Q$215,13,0)*$H436</f>
        <v>235.93226692615417</v>
      </c>
      <c r="U436" s="384">
        <f>VLOOKUP($A436,'8.Non-elective admissions - CCG'!$D$5:$Q$215,14,0)*$H436</f>
        <v>230.79370361482523</v>
      </c>
    </row>
    <row r="437" spans="1:21">
      <c r="A437" s="395" t="s">
        <v>356</v>
      </c>
      <c r="B437" s="395" t="s">
        <v>355</v>
      </c>
      <c r="C437" s="395" t="s">
        <v>722</v>
      </c>
      <c r="D437" s="395" t="s">
        <v>282</v>
      </c>
      <c r="E437" s="537">
        <f>COUNTIF($D$5:D437,D437)</f>
        <v>5</v>
      </c>
      <c r="F437" s="537" t="str">
        <f t="shared" si="12"/>
        <v>Lewisham5</v>
      </c>
      <c r="G437" s="541" t="str">
        <f t="shared" si="13"/>
        <v>NHS Lewisham CCG</v>
      </c>
      <c r="H437" s="546">
        <v>0.9239473969221883</v>
      </c>
      <c r="I437" s="546">
        <v>0.92741114577396822</v>
      </c>
      <c r="J437" s="384">
        <f>VLOOKUP($A437,'8.Non-elective admissions - CCG'!$D$5:$N$215,3,0)*$H437</f>
        <v>5600.9691201423057</v>
      </c>
      <c r="K437" s="384">
        <f>VLOOKUP($A437,'8.Non-elective admissions - CCG'!$D$5:$N$215,4,0)*$H437</f>
        <v>5882.7730762035726</v>
      </c>
      <c r="L437" s="384">
        <f>VLOOKUP($A437,'8.Non-elective admissions - CCG'!$D$5:$N$215,5,0)*$H437</f>
        <v>5637.0030686222708</v>
      </c>
      <c r="M437" s="384">
        <f>VLOOKUP($A437,'8.Non-elective admissions - CCG'!$D$5:$N$215,6,0)*$H437</f>
        <v>5448.5177996501443</v>
      </c>
      <c r="N437" s="384">
        <f>VLOOKUP($A437,'8.Non-elective admissions - CCG'!$D$5:$N$215,7,0)*$H437</f>
        <v>5838.1324945232764</v>
      </c>
      <c r="O437" s="384">
        <f>VLOOKUP($A437,'8.Non-elective admissions - CCG'!$D$5:$N$215,8,0)*$H437</f>
        <v>5980.6608731340793</v>
      </c>
      <c r="P437" s="384">
        <f>VLOOKUP($A437,'8.Non-elective admissions - CCG'!$D$5:$N$215,9,0)*$H437</f>
        <v>5918.7563975402936</v>
      </c>
      <c r="Q437" s="384">
        <f>VLOOKUP($A437,'8.Non-elective admissions - CCG'!$D$5:$N$215,10,0)*$H437</f>
        <v>5789.8467503985357</v>
      </c>
      <c r="R437" s="384">
        <f>VLOOKUP($A437,'8.Non-elective admissions - CCG'!$D$5:$Q$215,11,0)*$H437</f>
        <v>5842.3364551792711</v>
      </c>
      <c r="S437" s="384">
        <f>VLOOKUP($A437,'8.Non-elective admissions - CCG'!$D$5:$Q$215,12,0)*$H437</f>
        <v>5984.9110311599215</v>
      </c>
      <c r="T437" s="384">
        <f>VLOOKUP($A437,'8.Non-elective admissions - CCG'!$D$5:$Q$215,13,0)*$H437</f>
        <v>5923.006555566134</v>
      </c>
      <c r="U437" s="384">
        <f>VLOOKUP($A437,'8.Non-elective admissions - CCG'!$D$5:$Q$215,14,0)*$H437</f>
        <v>5794.0045136846857</v>
      </c>
    </row>
    <row r="438" spans="1:21">
      <c r="A438" s="395" t="s">
        <v>356</v>
      </c>
      <c r="B438" s="395" t="s">
        <v>355</v>
      </c>
      <c r="C438" s="395" t="s">
        <v>767</v>
      </c>
      <c r="D438" s="395" t="s">
        <v>417</v>
      </c>
      <c r="E438" s="537">
        <f>COUNTIF($D$5:D438,D438)</f>
        <v>4</v>
      </c>
      <c r="F438" s="537" t="str">
        <f t="shared" si="12"/>
        <v>Southwark4</v>
      </c>
      <c r="G438" s="541" t="str">
        <f t="shared" si="13"/>
        <v>NHS Lewisham CCG</v>
      </c>
      <c r="H438" s="546">
        <v>1.99378398868384E-2</v>
      </c>
      <c r="I438" s="546">
        <v>1.8794143033482966E-2</v>
      </c>
      <c r="J438" s="384">
        <f>VLOOKUP($A438,'8.Non-elective admissions - CCG'!$D$5:$N$215,3,0)*$H438</f>
        <v>120.86318539401438</v>
      </c>
      <c r="K438" s="384">
        <f>VLOOKUP($A438,'8.Non-elective admissions - CCG'!$D$5:$N$215,4,0)*$H438</f>
        <v>126.94422655950009</v>
      </c>
      <c r="L438" s="384">
        <f>VLOOKUP($A438,'8.Non-elective admissions - CCG'!$D$5:$N$215,5,0)*$H438</f>
        <v>121.64076114960108</v>
      </c>
      <c r="M438" s="384">
        <f>VLOOKUP($A438,'8.Non-elective admissions - CCG'!$D$5:$N$215,6,0)*$H438</f>
        <v>117.57344181268604</v>
      </c>
      <c r="N438" s="384">
        <f>VLOOKUP($A438,'8.Non-elective admissions - CCG'!$D$5:$N$215,7,0)*$H438</f>
        <v>125.98092846161926</v>
      </c>
      <c r="O438" s="384">
        <f>VLOOKUP($A438,'8.Non-elective admissions - CCG'!$D$5:$N$215,8,0)*$H438</f>
        <v>129.05654510553106</v>
      </c>
      <c r="P438" s="384">
        <f>VLOOKUP($A438,'8.Non-elective admissions - CCG'!$D$5:$N$215,9,0)*$H438</f>
        <v>127.72070983311292</v>
      </c>
      <c r="Q438" s="384">
        <f>VLOOKUP($A438,'8.Non-elective admissions - CCG'!$D$5:$N$215,10,0)*$H438</f>
        <v>124.93897148616496</v>
      </c>
      <c r="R438" s="384">
        <f>VLOOKUP($A438,'8.Non-elective admissions - CCG'!$D$5:$Q$215,11,0)*$H438</f>
        <v>126.07164563310437</v>
      </c>
      <c r="S438" s="384">
        <f>VLOOKUP($A438,'8.Non-elective admissions - CCG'!$D$5:$Q$215,12,0)*$H438</f>
        <v>129.14825916901054</v>
      </c>
      <c r="T438" s="384">
        <f>VLOOKUP($A438,'8.Non-elective admissions - CCG'!$D$5:$Q$215,13,0)*$H438</f>
        <v>127.81242389659234</v>
      </c>
      <c r="U438" s="384">
        <f>VLOOKUP($A438,'8.Non-elective admissions - CCG'!$D$5:$Q$215,14,0)*$H438</f>
        <v>125.02869176565572</v>
      </c>
    </row>
    <row r="439" spans="1:21">
      <c r="A439" s="395" t="s">
        <v>359</v>
      </c>
      <c r="B439" s="395" t="s">
        <v>358</v>
      </c>
      <c r="C439" s="395" t="s">
        <v>723</v>
      </c>
      <c r="D439" s="395" t="s">
        <v>285</v>
      </c>
      <c r="E439" s="537">
        <f>COUNTIF($D$5:D439,D439)</f>
        <v>3</v>
      </c>
      <c r="F439" s="537" t="str">
        <f t="shared" si="12"/>
        <v>Lincolnshire3</v>
      </c>
      <c r="G439" s="541" t="str">
        <f t="shared" si="13"/>
        <v>NHS Lincolnshire East CCG</v>
      </c>
      <c r="H439" s="546">
        <v>0.99194057765345711</v>
      </c>
      <c r="I439" s="546">
        <v>0.32264773685390136</v>
      </c>
      <c r="J439" s="384">
        <f>VLOOKUP($A439,'8.Non-elective admissions - CCG'!$D$5:$N$215,3,0)*$H439</f>
        <v>6447.6137547474709</v>
      </c>
      <c r="K439" s="384">
        <f>VLOOKUP($A439,'8.Non-elective admissions - CCG'!$D$5:$N$215,4,0)*$H439</f>
        <v>6330.5647665843635</v>
      </c>
      <c r="L439" s="384">
        <f>VLOOKUP($A439,'8.Non-elective admissions - CCG'!$D$5:$N$215,5,0)*$H439</f>
        <v>6561.6869211776184</v>
      </c>
      <c r="M439" s="384">
        <f>VLOOKUP($A439,'8.Non-elective admissions - CCG'!$D$5:$N$215,6,0)*$H439</f>
        <v>6546.8078125128168</v>
      </c>
      <c r="N439" s="384">
        <f>VLOOKUP($A439,'8.Non-elective admissions - CCG'!$D$5:$N$215,7,0)*$H439</f>
        <v>6239.8171445364405</v>
      </c>
      <c r="O439" s="384">
        <f>VLOOKUP($A439,'8.Non-elective admissions - CCG'!$D$5:$N$215,8,0)*$H439</f>
        <v>6178.8316994762772</v>
      </c>
      <c r="P439" s="384">
        <f>VLOOKUP($A439,'8.Non-elective admissions - CCG'!$D$5:$N$215,9,0)*$H439</f>
        <v>6483.3929722860903</v>
      </c>
      <c r="Q439" s="384">
        <f>VLOOKUP($A439,'8.Non-elective admissions - CCG'!$D$5:$N$215,10,0)*$H439</f>
        <v>6399.786708356296</v>
      </c>
      <c r="R439" s="384">
        <f>VLOOKUP($A439,'8.Non-elective admissions - CCG'!$D$5:$Q$215,11,0)*$H439</f>
        <v>5654.8700697975091</v>
      </c>
      <c r="S439" s="384">
        <f>VLOOKUP($A439,'8.Non-elective admissions - CCG'!$D$5:$Q$215,12,0)*$H439</f>
        <v>5602.3827011589865</v>
      </c>
      <c r="T439" s="384">
        <f>VLOOKUP($A439,'8.Non-elective admissions - CCG'!$D$5:$Q$215,13,0)*$H439</f>
        <v>5869.6094875511108</v>
      </c>
      <c r="U439" s="384">
        <f>VLOOKUP($A439,'8.Non-elective admissions - CCG'!$D$5:$Q$215,14,0)*$H439</f>
        <v>5788.3259492278576</v>
      </c>
    </row>
    <row r="440" spans="1:21">
      <c r="A440" s="395" t="s">
        <v>359</v>
      </c>
      <c r="B440" s="395" t="s">
        <v>358</v>
      </c>
      <c r="C440" s="395" t="s">
        <v>734</v>
      </c>
      <c r="D440" s="395" t="s">
        <v>318</v>
      </c>
      <c r="E440" s="537">
        <f>COUNTIF($D$5:D440,D440)</f>
        <v>1</v>
      </c>
      <c r="F440" s="537" t="str">
        <f t="shared" si="12"/>
        <v>North East Lincolnshire1</v>
      </c>
      <c r="G440" s="541" t="str">
        <f t="shared" si="13"/>
        <v>NHS Lincolnshire East CCG</v>
      </c>
      <c r="H440" s="546">
        <v>8.059422346542857E-3</v>
      </c>
      <c r="I440" s="546">
        <v>1.1991871159092159E-2</v>
      </c>
      <c r="J440" s="384">
        <f>VLOOKUP($A440,'8.Non-elective admissions - CCG'!$D$5:$N$215,3,0)*$H440</f>
        <v>52.386245252528568</v>
      </c>
      <c r="K440" s="384">
        <f>VLOOKUP($A440,'8.Non-elective admissions - CCG'!$D$5:$N$215,4,0)*$H440</f>
        <v>51.43523341563651</v>
      </c>
      <c r="L440" s="384">
        <f>VLOOKUP($A440,'8.Non-elective admissions - CCG'!$D$5:$N$215,5,0)*$H440</f>
        <v>53.313078822381001</v>
      </c>
      <c r="M440" s="384">
        <f>VLOOKUP($A440,'8.Non-elective admissions - CCG'!$D$5:$N$215,6,0)*$H440</f>
        <v>53.192187487182856</v>
      </c>
      <c r="N440" s="384">
        <f>VLOOKUP($A440,'8.Non-elective admissions - CCG'!$D$5:$N$215,7,0)*$H440</f>
        <v>50.69791766355911</v>
      </c>
      <c r="O440" s="384">
        <f>VLOOKUP($A440,'8.Non-elective admissions - CCG'!$D$5:$N$215,8,0)*$H440</f>
        <v>50.202416753721891</v>
      </c>
      <c r="P440" s="384">
        <f>VLOOKUP($A440,'8.Non-elective admissions - CCG'!$D$5:$N$215,9,0)*$H440</f>
        <v>52.676947973910039</v>
      </c>
      <c r="Q440" s="384">
        <f>VLOOKUP($A440,'8.Non-elective admissions - CCG'!$D$5:$N$215,10,0)*$H440</f>
        <v>51.99765507370352</v>
      </c>
      <c r="R440" s="384">
        <f>VLOOKUP($A440,'8.Non-elective admissions - CCG'!$D$5:$Q$215,11,0)*$H440</f>
        <v>45.94527861249005</v>
      </c>
      <c r="S440" s="384">
        <f>VLOOKUP($A440,'8.Non-elective admissions - CCG'!$D$5:$Q$215,12,0)*$H440</f>
        <v>45.518823761013728</v>
      </c>
      <c r="T440" s="384">
        <f>VLOOKUP($A440,'8.Non-elective admissions - CCG'!$D$5:$Q$215,13,0)*$H440</f>
        <v>47.690015848888905</v>
      </c>
      <c r="U440" s="384">
        <f>VLOOKUP($A440,'8.Non-elective admissions - CCG'!$D$5:$Q$215,14,0)*$H440</f>
        <v>47.02959487214229</v>
      </c>
    </row>
    <row r="441" spans="1:21">
      <c r="A441" s="395" t="s">
        <v>362</v>
      </c>
      <c r="B441" s="395" t="s">
        <v>361</v>
      </c>
      <c r="C441" s="395" t="s">
        <v>723</v>
      </c>
      <c r="D441" s="395" t="s">
        <v>285</v>
      </c>
      <c r="E441" s="537">
        <f>COUNTIF($D$5:D441,D441)</f>
        <v>4</v>
      </c>
      <c r="F441" s="537" t="str">
        <f t="shared" si="12"/>
        <v>Lincolnshire4</v>
      </c>
      <c r="G441" s="541" t="str">
        <f t="shared" si="13"/>
        <v>NHS Lincolnshire West CCG</v>
      </c>
      <c r="H441" s="546">
        <v>0.98540327217604928</v>
      </c>
      <c r="I441" s="546">
        <v>0.3017986168180411</v>
      </c>
      <c r="J441" s="384">
        <f>VLOOKUP($A441,'8.Non-elective admissions - CCG'!$D$5:$N$215,3,0)*$H441</f>
        <v>5760.6675291411839</v>
      </c>
      <c r="K441" s="384">
        <f>VLOOKUP($A441,'8.Non-elective admissions - CCG'!$D$5:$N$215,4,0)*$H441</f>
        <v>5389.1704955308132</v>
      </c>
      <c r="L441" s="384">
        <f>VLOOKUP($A441,'8.Non-elective admissions - CCG'!$D$5:$N$215,5,0)*$H441</f>
        <v>5402.9661413412787</v>
      </c>
      <c r="M441" s="384">
        <f>VLOOKUP($A441,'8.Non-elective admissions - CCG'!$D$5:$N$215,6,0)*$H441</f>
        <v>5366.5062202707641</v>
      </c>
      <c r="N441" s="384">
        <f>VLOOKUP($A441,'8.Non-elective admissions - CCG'!$D$5:$N$215,7,0)*$H441</f>
        <v>5348.2630000180179</v>
      </c>
      <c r="O441" s="384">
        <f>VLOOKUP($A441,'8.Non-elective admissions - CCG'!$D$5:$N$215,8,0)*$H441</f>
        <v>5303.8680810430178</v>
      </c>
      <c r="P441" s="384">
        <f>VLOOKUP($A441,'8.Non-elective admissions - CCG'!$D$5:$N$215,9,0)*$H441</f>
        <v>5503.6775273234307</v>
      </c>
      <c r="Q441" s="384">
        <f>VLOOKUP($A441,'8.Non-elective admissions - CCG'!$D$5:$N$215,10,0)*$H441</f>
        <v>5384.6664027872139</v>
      </c>
      <c r="R441" s="384">
        <f>VLOOKUP($A441,'8.Non-elective admissions - CCG'!$D$5:$Q$215,11,0)*$H441</f>
        <v>5384.8797788417287</v>
      </c>
      <c r="S441" s="384">
        <f>VLOOKUP($A441,'8.Non-elective admissions - CCG'!$D$5:$Q$215,12,0)*$H441</f>
        <v>5094.8603215978819</v>
      </c>
      <c r="T441" s="384">
        <f>VLOOKUP($A441,'8.Non-elective admissions - CCG'!$D$5:$Q$215,13,0)*$H441</f>
        <v>5162.4855861091391</v>
      </c>
      <c r="U441" s="384">
        <f>VLOOKUP($A441,'8.Non-elective admissions - CCG'!$D$5:$Q$215,14,0)*$H441</f>
        <v>5208.9054989514716</v>
      </c>
    </row>
    <row r="442" spans="1:21">
      <c r="A442" s="395" t="s">
        <v>362</v>
      </c>
      <c r="B442" s="395" t="s">
        <v>361</v>
      </c>
      <c r="C442" s="395" t="s">
        <v>735</v>
      </c>
      <c r="D442" s="395" t="s">
        <v>321</v>
      </c>
      <c r="E442" s="537">
        <f>COUNTIF($D$5:D442,D442)</f>
        <v>4</v>
      </c>
      <c r="F442" s="537" t="str">
        <f t="shared" si="12"/>
        <v>North Lincolnshire4</v>
      </c>
      <c r="G442" s="541" t="str">
        <f t="shared" si="13"/>
        <v>NHS Lincolnshire West CCG</v>
      </c>
      <c r="H442" s="546">
        <v>1.0232084052062098E-2</v>
      </c>
      <c r="I442" s="546">
        <v>1.376235477464071E-2</v>
      </c>
      <c r="J442" s="384">
        <f>VLOOKUP($A442,'8.Non-elective admissions - CCG'!$D$5:$N$215,3,0)*$H442</f>
        <v>59.816763368355026</v>
      </c>
      <c r="K442" s="384">
        <f>VLOOKUP($A442,'8.Non-elective admissions - CCG'!$D$5:$N$215,4,0)*$H442</f>
        <v>55.959267680727613</v>
      </c>
      <c r="L442" s="384">
        <f>VLOOKUP($A442,'8.Non-elective admissions - CCG'!$D$5:$N$215,5,0)*$H442</f>
        <v>56.102516857456486</v>
      </c>
      <c r="M442" s="384">
        <f>VLOOKUP($A442,'8.Non-elective admissions - CCG'!$D$5:$N$215,6,0)*$H442</f>
        <v>55.723929747530185</v>
      </c>
      <c r="N442" s="384">
        <f>VLOOKUP($A442,'8.Non-elective admissions - CCG'!$D$5:$N$215,7,0)*$H442</f>
        <v>55.534498508283164</v>
      </c>
      <c r="O442" s="384">
        <f>VLOOKUP($A442,'8.Non-elective admissions - CCG'!$D$5:$N$215,8,0)*$H442</f>
        <v>55.07351714637479</v>
      </c>
      <c r="P442" s="384">
        <f>VLOOKUP($A442,'8.Non-elective admissions - CCG'!$D$5:$N$215,9,0)*$H442</f>
        <v>57.148268780010433</v>
      </c>
      <c r="Q442" s="384">
        <f>VLOOKUP($A442,'8.Non-elective admissions - CCG'!$D$5:$N$215,10,0)*$H442</f>
        <v>55.912498751871695</v>
      </c>
      <c r="R442" s="384">
        <f>VLOOKUP($A442,'8.Non-elective admissions - CCG'!$D$5:$Q$215,11,0)*$H442</f>
        <v>55.914714374435711</v>
      </c>
      <c r="S442" s="384">
        <f>VLOOKUP($A442,'8.Non-elective admissions - CCG'!$D$5:$Q$215,12,0)*$H442</f>
        <v>52.903253435505221</v>
      </c>
      <c r="T442" s="384">
        <f>VLOOKUP($A442,'8.Non-elective admissions - CCG'!$D$5:$Q$215,13,0)*$H442</f>
        <v>53.60545060701866</v>
      </c>
      <c r="U442" s="384">
        <f>VLOOKUP($A442,'8.Non-elective admissions - CCG'!$D$5:$Q$215,14,0)*$H442</f>
        <v>54.087458799302489</v>
      </c>
    </row>
    <row r="443" spans="1:21">
      <c r="A443" s="395" t="s">
        <v>362</v>
      </c>
      <c r="B443" s="395" t="s">
        <v>361</v>
      </c>
      <c r="C443" s="395" t="s">
        <v>742</v>
      </c>
      <c r="D443" s="395" t="s">
        <v>342</v>
      </c>
      <c r="E443" s="537">
        <f>COUNTIF($D$5:D443,D443)</f>
        <v>6</v>
      </c>
      <c r="F443" s="537" t="str">
        <f t="shared" si="12"/>
        <v>Nottinghamshire6</v>
      </c>
      <c r="G443" s="541" t="str">
        <f t="shared" si="13"/>
        <v>NHS Lincolnshire West CCG</v>
      </c>
      <c r="H443" s="546">
        <v>4.3646437718885571E-3</v>
      </c>
      <c r="I443" s="546">
        <v>1.2241741406040969E-3</v>
      </c>
      <c r="J443" s="384">
        <f>VLOOKUP($A443,'8.Non-elective admissions - CCG'!$D$5:$N$215,3,0)*$H443</f>
        <v>25.515707490460503</v>
      </c>
      <c r="K443" s="384">
        <f>VLOOKUP($A443,'8.Non-elective admissions - CCG'!$D$5:$N$215,4,0)*$H443</f>
        <v>23.87023678845852</v>
      </c>
      <c r="L443" s="384">
        <f>VLOOKUP($A443,'8.Non-elective admissions - CCG'!$D$5:$N$215,5,0)*$H443</f>
        <v>23.93134180126496</v>
      </c>
      <c r="M443" s="384">
        <f>VLOOKUP($A443,'8.Non-elective admissions - CCG'!$D$5:$N$215,6,0)*$H443</f>
        <v>23.769849981705082</v>
      </c>
      <c r="N443" s="384">
        <f>VLOOKUP($A443,'8.Non-elective admissions - CCG'!$D$5:$N$215,7,0)*$H443</f>
        <v>23.689045340698048</v>
      </c>
      <c r="O443" s="384">
        <f>VLOOKUP($A443,'8.Non-elective admissions - CCG'!$D$5:$N$215,8,0)*$H443</f>
        <v>23.492407058606865</v>
      </c>
      <c r="P443" s="384">
        <f>VLOOKUP($A443,'8.Non-elective admissions - CCG'!$D$5:$N$215,9,0)*$H443</f>
        <v>24.377422442558725</v>
      </c>
      <c r="Q443" s="384">
        <f>VLOOKUP($A443,'8.Non-elective admissions - CCG'!$D$5:$N$215,10,0)*$H443</f>
        <v>23.850286823914612</v>
      </c>
      <c r="R443" s="384">
        <f>VLOOKUP($A443,'8.Non-elective admissions - CCG'!$D$5:$Q$215,11,0)*$H443</f>
        <v>23.851231929835919</v>
      </c>
      <c r="S443" s="384">
        <f>VLOOKUP($A443,'8.Non-elective admissions - CCG'!$D$5:$Q$215,12,0)*$H443</f>
        <v>22.566649613612693</v>
      </c>
      <c r="T443" s="384">
        <f>VLOOKUP($A443,'8.Non-elective admissions - CCG'!$D$5:$Q$215,13,0)*$H443</f>
        <v>22.866181995841927</v>
      </c>
      <c r="U443" s="384">
        <f>VLOOKUP($A443,'8.Non-elective admissions - CCG'!$D$5:$Q$215,14,0)*$H443</f>
        <v>23.071789577224813</v>
      </c>
    </row>
    <row r="444" spans="1:21">
      <c r="A444" s="395" t="s">
        <v>365</v>
      </c>
      <c r="B444" s="395" t="s">
        <v>364</v>
      </c>
      <c r="C444" s="395" t="s">
        <v>697</v>
      </c>
      <c r="D444" s="395" t="s">
        <v>198</v>
      </c>
      <c r="E444" s="537">
        <f>COUNTIF($D$5:D444,D444)</f>
        <v>3</v>
      </c>
      <c r="F444" s="537" t="str">
        <f t="shared" si="12"/>
        <v>Halton3</v>
      </c>
      <c r="G444" s="541" t="str">
        <f t="shared" si="13"/>
        <v>NHS Liverpool CCG</v>
      </c>
      <c r="H444" s="546">
        <v>2.7423367035788798E-3</v>
      </c>
      <c r="I444" s="546">
        <v>1.0411034020547893E-2</v>
      </c>
      <c r="J444" s="384">
        <f>VLOOKUP($A444,'8.Non-elective admissions - CCG'!$D$5:$N$215,3,0)*$H444</f>
        <v>35.433732546942707</v>
      </c>
      <c r="K444" s="384">
        <f>VLOOKUP($A444,'8.Non-elective admissions - CCG'!$D$5:$N$215,4,0)*$H444</f>
        <v>35.422763200128394</v>
      </c>
      <c r="L444" s="384">
        <f>VLOOKUP($A444,'8.Non-elective admissions - CCG'!$D$5:$N$215,5,0)*$H444</f>
        <v>36.83780893917509</v>
      </c>
      <c r="M444" s="384">
        <f>VLOOKUP($A444,'8.Non-elective admissions - CCG'!$D$5:$N$215,6,0)*$H444</f>
        <v>38.173326913818009</v>
      </c>
      <c r="N444" s="384">
        <f>VLOOKUP($A444,'8.Non-elective admissions - CCG'!$D$5:$N$215,7,0)*$H444</f>
        <v>34.967535307334295</v>
      </c>
      <c r="O444" s="384">
        <f>VLOOKUP($A444,'8.Non-elective admissions - CCG'!$D$5:$N$215,8,0)*$H444</f>
        <v>35.376143476167549</v>
      </c>
      <c r="P444" s="384">
        <f>VLOOKUP($A444,'8.Non-elective admissions - CCG'!$D$5:$N$215,9,0)*$H444</f>
        <v>35.381628149574709</v>
      </c>
      <c r="Q444" s="384">
        <f>VLOOKUP($A444,'8.Non-elective admissions - CCG'!$D$5:$N$215,10,0)*$H444</f>
        <v>34.622000882683359</v>
      </c>
      <c r="R444" s="384">
        <f>VLOOKUP($A444,'8.Non-elective admissions - CCG'!$D$5:$Q$215,11,0)*$H444</f>
        <v>34.089987562189052</v>
      </c>
      <c r="S444" s="384">
        <f>VLOOKUP($A444,'8.Non-elective admissions - CCG'!$D$5:$Q$215,12,0)*$H444</f>
        <v>34.471172363986518</v>
      </c>
      <c r="T444" s="384">
        <f>VLOOKUP($A444,'8.Non-elective admissions - CCG'!$D$5:$Q$215,13,0)*$H444</f>
        <v>34.476657037393679</v>
      </c>
      <c r="U444" s="384">
        <f>VLOOKUP($A444,'8.Non-elective admissions - CCG'!$D$5:$Q$215,14,0)*$H444</f>
        <v>34.117410929224846</v>
      </c>
    </row>
    <row r="445" spans="1:21">
      <c r="A445" s="395" t="s">
        <v>365</v>
      </c>
      <c r="B445" s="395" t="s">
        <v>364</v>
      </c>
      <c r="C445" s="395" t="s">
        <v>716</v>
      </c>
      <c r="D445" s="395" t="s">
        <v>264</v>
      </c>
      <c r="E445" s="537">
        <f>COUNTIF($D$5:D445,D445)</f>
        <v>3</v>
      </c>
      <c r="F445" s="537" t="str">
        <f t="shared" si="12"/>
        <v>Knowsley3</v>
      </c>
      <c r="G445" s="541" t="str">
        <f t="shared" si="13"/>
        <v>NHS Liverpool CCG</v>
      </c>
      <c r="H445" s="546">
        <v>2.5595811266249401E-2</v>
      </c>
      <c r="I445" s="546">
        <v>8.0298815562576301E-2</v>
      </c>
      <c r="J445" s="384">
        <f>VLOOKUP($A445,'8.Non-elective admissions - CCG'!$D$5:$N$215,3,0)*$H445</f>
        <v>330.7234773712085</v>
      </c>
      <c r="K445" s="384">
        <f>VLOOKUP($A445,'8.Non-elective admissions - CCG'!$D$5:$N$215,4,0)*$H445</f>
        <v>330.62109412614353</v>
      </c>
      <c r="L445" s="384">
        <f>VLOOKUP($A445,'8.Non-elective admissions - CCG'!$D$5:$N$215,5,0)*$H445</f>
        <v>343.82853273952821</v>
      </c>
      <c r="M445" s="384">
        <f>VLOOKUP($A445,'8.Non-elective admissions - CCG'!$D$5:$N$215,6,0)*$H445</f>
        <v>356.29369282619166</v>
      </c>
      <c r="N445" s="384">
        <f>VLOOKUP($A445,'8.Non-elective admissions - CCG'!$D$5:$N$215,7,0)*$H445</f>
        <v>326.37218945594611</v>
      </c>
      <c r="O445" s="384">
        <f>VLOOKUP($A445,'8.Non-elective admissions - CCG'!$D$5:$N$215,8,0)*$H445</f>
        <v>330.18596533461726</v>
      </c>
      <c r="P445" s="384">
        <f>VLOOKUP($A445,'8.Non-elective admissions - CCG'!$D$5:$N$215,9,0)*$H445</f>
        <v>330.23715695714975</v>
      </c>
      <c r="Q445" s="384">
        <f>VLOOKUP($A445,'8.Non-elective admissions - CCG'!$D$5:$N$215,10,0)*$H445</f>
        <v>323.14711723639869</v>
      </c>
      <c r="R445" s="384">
        <f>VLOOKUP($A445,'8.Non-elective admissions - CCG'!$D$5:$Q$215,11,0)*$H445</f>
        <v>318.1815298507463</v>
      </c>
      <c r="S445" s="384">
        <f>VLOOKUP($A445,'8.Non-elective admissions - CCG'!$D$5:$Q$215,12,0)*$H445</f>
        <v>321.73934761675497</v>
      </c>
      <c r="T445" s="384">
        <f>VLOOKUP($A445,'8.Non-elective admissions - CCG'!$D$5:$Q$215,13,0)*$H445</f>
        <v>321.79053923928745</v>
      </c>
      <c r="U445" s="384">
        <f>VLOOKUP($A445,'8.Non-elective admissions - CCG'!$D$5:$Q$215,14,0)*$H445</f>
        <v>318.43748796340878</v>
      </c>
    </row>
    <row r="446" spans="1:21">
      <c r="A446" s="395" t="s">
        <v>365</v>
      </c>
      <c r="B446" s="395" t="s">
        <v>364</v>
      </c>
      <c r="C446" s="395" t="s">
        <v>724</v>
      </c>
      <c r="D446" s="395" t="s">
        <v>288</v>
      </c>
      <c r="E446" s="537">
        <f>COUNTIF($D$5:D446,D446)</f>
        <v>2</v>
      </c>
      <c r="F446" s="537" t="str">
        <f t="shared" si="12"/>
        <v>Liverpool2</v>
      </c>
      <c r="G446" s="541" t="str">
        <f t="shared" si="13"/>
        <v>NHS Liverpool CCG</v>
      </c>
      <c r="H446" s="546">
        <v>0.94242497191462049</v>
      </c>
      <c r="I446" s="546">
        <v>0.9616904199437456</v>
      </c>
      <c r="J446" s="384">
        <f>VLOOKUP($A446,'8.Non-elective admissions - CCG'!$D$5:$N$215,3,0)*$H446</f>
        <v>12177.073062108811</v>
      </c>
      <c r="K446" s="384">
        <f>VLOOKUP($A446,'8.Non-elective admissions - CCG'!$D$5:$N$215,4,0)*$H446</f>
        <v>12173.303362221153</v>
      </c>
      <c r="L446" s="384">
        <f>VLOOKUP($A446,'8.Non-elective admissions - CCG'!$D$5:$N$215,5,0)*$H446</f>
        <v>12659.594647729096</v>
      </c>
      <c r="M446" s="384">
        <f>VLOOKUP($A446,'8.Non-elective admissions - CCG'!$D$5:$N$215,6,0)*$H446</f>
        <v>13118.555609051517</v>
      </c>
      <c r="N446" s="384">
        <f>VLOOKUP($A446,'8.Non-elective admissions - CCG'!$D$5:$N$215,7,0)*$H446</f>
        <v>12016.860816883325</v>
      </c>
      <c r="O446" s="384">
        <f>VLOOKUP($A446,'8.Non-elective admissions - CCG'!$D$5:$N$215,8,0)*$H446</f>
        <v>12157.282137698605</v>
      </c>
      <c r="P446" s="384">
        <f>VLOOKUP($A446,'8.Non-elective admissions - CCG'!$D$5:$N$215,9,0)*$H446</f>
        <v>12159.166987642433</v>
      </c>
      <c r="Q446" s="384">
        <f>VLOOKUP($A446,'8.Non-elective admissions - CCG'!$D$5:$N$215,10,0)*$H446</f>
        <v>11898.115270422084</v>
      </c>
      <c r="R446" s="384">
        <f>VLOOKUP($A446,'8.Non-elective admissions - CCG'!$D$5:$Q$215,11,0)*$H446</f>
        <v>11715.284825870647</v>
      </c>
      <c r="S446" s="384">
        <f>VLOOKUP($A446,'8.Non-elective admissions - CCG'!$D$5:$Q$215,12,0)*$H446</f>
        <v>11846.281896966779</v>
      </c>
      <c r="T446" s="384">
        <f>VLOOKUP($A446,'8.Non-elective admissions - CCG'!$D$5:$Q$215,13,0)*$H446</f>
        <v>11848.166746910609</v>
      </c>
      <c r="U446" s="384">
        <f>VLOOKUP($A446,'8.Non-elective admissions - CCG'!$D$5:$Q$215,14,0)*$H446</f>
        <v>11724.709075589793</v>
      </c>
    </row>
    <row r="447" spans="1:21">
      <c r="A447" s="395" t="s">
        <v>365</v>
      </c>
      <c r="B447" s="395" t="s">
        <v>364</v>
      </c>
      <c r="C447" s="395" t="s">
        <v>757</v>
      </c>
      <c r="D447" s="395" t="s">
        <v>387</v>
      </c>
      <c r="E447" s="537">
        <f>COUNTIF($D$5:D447,D447)</f>
        <v>2</v>
      </c>
      <c r="F447" s="537" t="str">
        <f t="shared" si="12"/>
        <v>Sefton2</v>
      </c>
      <c r="G447" s="541" t="str">
        <f t="shared" si="13"/>
        <v>NHS Liverpool CCG</v>
      </c>
      <c r="H447" s="546">
        <v>2.9236880115551277E-2</v>
      </c>
      <c r="I447" s="546">
        <v>5.1084861018612635E-2</v>
      </c>
      <c r="J447" s="384">
        <f>VLOOKUP($A447,'8.Non-elective admissions - CCG'!$D$5:$N$215,3,0)*$H447</f>
        <v>377.76972797303807</v>
      </c>
      <c r="K447" s="384">
        <f>VLOOKUP($A447,'8.Non-elective admissions - CCG'!$D$5:$N$215,4,0)*$H447</f>
        <v>377.65278045257583</v>
      </c>
      <c r="L447" s="384">
        <f>VLOOKUP($A447,'8.Non-elective admissions - CCG'!$D$5:$N$215,5,0)*$H447</f>
        <v>392.73901059220032</v>
      </c>
      <c r="M447" s="384">
        <f>VLOOKUP($A447,'8.Non-elective admissions - CCG'!$D$5:$N$215,6,0)*$H447</f>
        <v>406.97737120847376</v>
      </c>
      <c r="N447" s="384">
        <f>VLOOKUP($A447,'8.Non-elective admissions - CCG'!$D$5:$N$215,7,0)*$H447</f>
        <v>372.79945835339436</v>
      </c>
      <c r="O447" s="384">
        <f>VLOOKUP($A447,'8.Non-elective admissions - CCG'!$D$5:$N$215,8,0)*$H447</f>
        <v>377.15575349061146</v>
      </c>
      <c r="P447" s="384">
        <f>VLOOKUP($A447,'8.Non-elective admissions - CCG'!$D$5:$N$215,9,0)*$H447</f>
        <v>377.21422725084255</v>
      </c>
      <c r="Q447" s="384">
        <f>VLOOKUP($A447,'8.Non-elective admissions - CCG'!$D$5:$N$215,10,0)*$H447</f>
        <v>369.11561145883485</v>
      </c>
      <c r="R447" s="384">
        <f>VLOOKUP($A447,'8.Non-elective admissions - CCG'!$D$5:$Q$215,11,0)*$H447</f>
        <v>363.44365671641793</v>
      </c>
      <c r="S447" s="384">
        <f>VLOOKUP($A447,'8.Non-elective admissions - CCG'!$D$5:$Q$215,12,0)*$H447</f>
        <v>367.50758305247956</v>
      </c>
      <c r="T447" s="384">
        <f>VLOOKUP($A447,'8.Non-elective admissions - CCG'!$D$5:$Q$215,13,0)*$H447</f>
        <v>367.56605681271066</v>
      </c>
      <c r="U447" s="384">
        <f>VLOOKUP($A447,'8.Non-elective admissions - CCG'!$D$5:$Q$215,14,0)*$H447</f>
        <v>363.73602551757341</v>
      </c>
    </row>
    <row r="448" spans="1:21">
      <c r="A448" s="395" t="s">
        <v>368</v>
      </c>
      <c r="B448" s="395" t="s">
        <v>367</v>
      </c>
      <c r="C448" s="395" t="s">
        <v>672</v>
      </c>
      <c r="D448" s="395" t="s">
        <v>106</v>
      </c>
      <c r="E448" s="537">
        <f>COUNTIF($D$5:D448,D448)</f>
        <v>5</v>
      </c>
      <c r="F448" s="537" t="str">
        <f t="shared" si="12"/>
        <v>Central Bedfordshire5</v>
      </c>
      <c r="G448" s="541" t="str">
        <f t="shared" si="13"/>
        <v>NHS Luton CCG</v>
      </c>
      <c r="H448" s="546">
        <v>2.4469090366539017E-2</v>
      </c>
      <c r="I448" s="546">
        <v>1.9963481436396834E-2</v>
      </c>
      <c r="J448" s="384">
        <f>VLOOKUP($A448,'8.Non-elective admissions - CCG'!$D$5:$N$215,3,0)*$H448</f>
        <v>130.00427711742179</v>
      </c>
      <c r="K448" s="384">
        <f>VLOOKUP($A448,'8.Non-elective admissions - CCG'!$D$5:$N$215,4,0)*$H448</f>
        <v>130.37131347291989</v>
      </c>
      <c r="L448" s="384">
        <f>VLOOKUP($A448,'8.Non-elective admissions - CCG'!$D$5:$N$215,5,0)*$H448</f>
        <v>147.2549858258318</v>
      </c>
      <c r="M448" s="384">
        <f>VLOOKUP($A448,'8.Non-elective admissions - CCG'!$D$5:$N$215,6,0)*$H448</f>
        <v>146.4964440244691</v>
      </c>
      <c r="N448" s="384">
        <f>VLOOKUP($A448,'8.Non-elective admissions - CCG'!$D$5:$N$215,7,0)*$H448</f>
        <v>138.00566966728005</v>
      </c>
      <c r="O448" s="384">
        <f>VLOOKUP($A448,'8.Non-elective admissions - CCG'!$D$5:$N$215,8,0)*$H448</f>
        <v>137.27159695628387</v>
      </c>
      <c r="P448" s="384">
        <f>VLOOKUP($A448,'8.Non-elective admissions - CCG'!$D$5:$N$215,9,0)*$H448</f>
        <v>134.16402247973343</v>
      </c>
      <c r="Q448" s="384">
        <f>VLOOKUP($A448,'8.Non-elective admissions - CCG'!$D$5:$N$215,10,0)*$H448</f>
        <v>129.66170985229024</v>
      </c>
      <c r="R448" s="384">
        <f>VLOOKUP($A448,'8.Non-elective admissions - CCG'!$D$5:$Q$215,11,0)*$H448</f>
        <v>126.9945790023375</v>
      </c>
      <c r="S448" s="384">
        <f>VLOOKUP($A448,'8.Non-elective admissions - CCG'!$D$5:$Q$215,12,0)*$H448</f>
        <v>127.53289899040135</v>
      </c>
      <c r="T448" s="384">
        <f>VLOOKUP($A448,'8.Non-elective admissions - CCG'!$D$5:$Q$215,13,0)*$H448</f>
        <v>127.53289899040135</v>
      </c>
      <c r="U448" s="384">
        <f>VLOOKUP($A448,'8.Non-elective admissions - CCG'!$D$5:$Q$215,14,0)*$H448</f>
        <v>124.47426269458398</v>
      </c>
    </row>
    <row r="449" spans="1:21">
      <c r="A449" s="395" t="s">
        <v>368</v>
      </c>
      <c r="B449" s="395" t="s">
        <v>367</v>
      </c>
      <c r="C449" s="395" t="s">
        <v>705</v>
      </c>
      <c r="D449" s="395" t="s">
        <v>227</v>
      </c>
      <c r="E449" s="537">
        <f>COUNTIF($D$5:D449,D449)</f>
        <v>11</v>
      </c>
      <c r="F449" s="537" t="str">
        <f t="shared" si="12"/>
        <v>Hertfordshire11</v>
      </c>
      <c r="G449" s="541" t="str">
        <f t="shared" si="13"/>
        <v>NHS Luton CCG</v>
      </c>
      <c r="H449" s="546">
        <v>3.9425437545495233E-3</v>
      </c>
      <c r="I449" s="546">
        <v>0</v>
      </c>
      <c r="J449" s="384">
        <f>VLOOKUP($A449,'8.Non-elective admissions - CCG'!$D$5:$N$215,3,0)*$H449</f>
        <v>20.946734967921618</v>
      </c>
      <c r="K449" s="384">
        <f>VLOOKUP($A449,'8.Non-elective admissions - CCG'!$D$5:$N$215,4,0)*$H449</f>
        <v>21.005873124239859</v>
      </c>
      <c r="L449" s="384">
        <f>VLOOKUP($A449,'8.Non-elective admissions - CCG'!$D$5:$N$215,5,0)*$H449</f>
        <v>23.72622831487903</v>
      </c>
      <c r="M449" s="384">
        <f>VLOOKUP($A449,'8.Non-elective admissions - CCG'!$D$5:$N$215,6,0)*$H449</f>
        <v>23.604009458487997</v>
      </c>
      <c r="N449" s="384">
        <f>VLOOKUP($A449,'8.Non-elective admissions - CCG'!$D$5:$N$215,7,0)*$H449</f>
        <v>22.235946775659311</v>
      </c>
      <c r="O449" s="384">
        <f>VLOOKUP($A449,'8.Non-elective admissions - CCG'!$D$5:$N$215,8,0)*$H449</f>
        <v>22.117670463022826</v>
      </c>
      <c r="P449" s="384">
        <f>VLOOKUP($A449,'8.Non-elective admissions - CCG'!$D$5:$N$215,9,0)*$H449</f>
        <v>21.616967406195037</v>
      </c>
      <c r="Q449" s="384">
        <f>VLOOKUP($A449,'8.Non-elective admissions - CCG'!$D$5:$N$215,10,0)*$H449</f>
        <v>20.891539355357924</v>
      </c>
      <c r="R449" s="384">
        <f>VLOOKUP($A449,'8.Non-elective admissions - CCG'!$D$5:$Q$215,11,0)*$H449</f>
        <v>20.461802086112026</v>
      </c>
      <c r="S449" s="384">
        <f>VLOOKUP($A449,'8.Non-elective admissions - CCG'!$D$5:$Q$215,12,0)*$H449</f>
        <v>20.548538048712114</v>
      </c>
      <c r="T449" s="384">
        <f>VLOOKUP($A449,'8.Non-elective admissions - CCG'!$D$5:$Q$215,13,0)*$H449</f>
        <v>20.548538048712114</v>
      </c>
      <c r="U449" s="384">
        <f>VLOOKUP($A449,'8.Non-elective admissions - CCG'!$D$5:$Q$215,14,0)*$H449</f>
        <v>20.055720079393424</v>
      </c>
    </row>
    <row r="450" spans="1:21">
      <c r="A450" s="395" t="s">
        <v>368</v>
      </c>
      <c r="B450" s="395" t="s">
        <v>367</v>
      </c>
      <c r="C450" s="395" t="s">
        <v>725</v>
      </c>
      <c r="D450" s="395" t="s">
        <v>291</v>
      </c>
      <c r="E450" s="537">
        <f>COUNTIF($D$5:D450,D450)</f>
        <v>2</v>
      </c>
      <c r="F450" s="537" t="str">
        <f t="shared" si="12"/>
        <v>Luton2</v>
      </c>
      <c r="G450" s="541" t="str">
        <f t="shared" si="13"/>
        <v>NHS Luton CCG</v>
      </c>
      <c r="H450" s="546">
        <v>0.9715883658789114</v>
      </c>
      <c r="I450" s="546">
        <v>0.95454121451447405</v>
      </c>
      <c r="J450" s="384">
        <f>VLOOKUP($A450,'8.Non-elective admissions - CCG'!$D$5:$N$215,3,0)*$H450</f>
        <v>5162.0489879146562</v>
      </c>
      <c r="K450" s="384">
        <f>VLOOKUP($A450,'8.Non-elective admissions - CCG'!$D$5:$N$215,4,0)*$H450</f>
        <v>5176.6228134028397</v>
      </c>
      <c r="L450" s="384">
        <f>VLOOKUP($A450,'8.Non-elective admissions - CCG'!$D$5:$N$215,5,0)*$H450</f>
        <v>5847.018785859289</v>
      </c>
      <c r="M450" s="384">
        <f>VLOOKUP($A450,'8.Non-elective admissions - CCG'!$D$5:$N$215,6,0)*$H450</f>
        <v>5816.8995465170428</v>
      </c>
      <c r="N450" s="384">
        <f>VLOOKUP($A450,'8.Non-elective admissions - CCG'!$D$5:$N$215,7,0)*$H450</f>
        <v>5479.7583835570604</v>
      </c>
      <c r="O450" s="384">
        <f>VLOOKUP($A450,'8.Non-elective admissions - CCG'!$D$5:$N$215,8,0)*$H450</f>
        <v>5450.6107325806934</v>
      </c>
      <c r="P450" s="384">
        <f>VLOOKUP($A450,'8.Non-elective admissions - CCG'!$D$5:$N$215,9,0)*$H450</f>
        <v>5327.2190101140714</v>
      </c>
      <c r="Q450" s="384">
        <f>VLOOKUP($A450,'8.Non-elective admissions - CCG'!$D$5:$N$215,10,0)*$H450</f>
        <v>5148.4467507923518</v>
      </c>
      <c r="R450" s="384">
        <f>VLOOKUP($A450,'8.Non-elective admissions - CCG'!$D$5:$Q$215,11,0)*$H450</f>
        <v>5042.5436189115499</v>
      </c>
      <c r="S450" s="384">
        <f>VLOOKUP($A450,'8.Non-elective admissions - CCG'!$D$5:$Q$215,12,0)*$H450</f>
        <v>5063.9185629608864</v>
      </c>
      <c r="T450" s="384">
        <f>VLOOKUP($A450,'8.Non-elective admissions - CCG'!$D$5:$Q$215,13,0)*$H450</f>
        <v>5063.9185629608864</v>
      </c>
      <c r="U450" s="384">
        <f>VLOOKUP($A450,'8.Non-elective admissions - CCG'!$D$5:$Q$215,14,0)*$H450</f>
        <v>4942.4700172260227</v>
      </c>
    </row>
    <row r="451" spans="1:21">
      <c r="A451" s="395" t="s">
        <v>371</v>
      </c>
      <c r="B451" s="395" t="s">
        <v>1211</v>
      </c>
      <c r="C451" s="395" t="s">
        <v>683</v>
      </c>
      <c r="D451" s="395" t="s">
        <v>146</v>
      </c>
      <c r="E451" s="537">
        <f>COUNTIF($D$5:D451,D451)</f>
        <v>6</v>
      </c>
      <c r="F451" s="537" t="str">
        <f t="shared" si="12"/>
        <v>Derbyshire6</v>
      </c>
      <c r="G451" s="541" t="str">
        <f t="shared" si="13"/>
        <v>NHS Mansfield and Ashfield CCG</v>
      </c>
      <c r="H451" s="546">
        <v>1.874923104080967E-2</v>
      </c>
      <c r="I451" s="546">
        <v>4.4409811971010084E-3</v>
      </c>
      <c r="J451" s="384">
        <f>VLOOKUP($A451,'8.Non-elective admissions - CCG'!$D$5:$N$215,3,0)*$H451</f>
        <v>114.07032165228603</v>
      </c>
      <c r="K451" s="384">
        <f>VLOOKUP($A451,'8.Non-elective admissions - CCG'!$D$5:$N$215,4,0)*$H451</f>
        <v>110.47046929245057</v>
      </c>
      <c r="L451" s="384">
        <f>VLOOKUP($A451,'8.Non-elective admissions - CCG'!$D$5:$N$215,5,0)*$H451</f>
        <v>113.18910779336798</v>
      </c>
      <c r="M451" s="384">
        <f>VLOOKUP($A451,'8.Non-elective admissions - CCG'!$D$5:$N$215,6,0)*$H451</f>
        <v>107.52684001904346</v>
      </c>
      <c r="N451" s="384">
        <f>VLOOKUP($A451,'8.Non-elective admissions - CCG'!$D$5:$N$215,7,0)*$H451</f>
        <v>110.87020289824065</v>
      </c>
      <c r="O451" s="384">
        <f>VLOOKUP($A451,'8.Non-elective admissions - CCG'!$D$5:$N$215,8,0)*$H451</f>
        <v>108.31618264586155</v>
      </c>
      <c r="P451" s="384">
        <f>VLOOKUP($A451,'8.Non-elective admissions - CCG'!$D$5:$N$215,9,0)*$H451</f>
        <v>110.9988226231806</v>
      </c>
      <c r="Q451" s="384">
        <f>VLOOKUP($A451,'8.Non-elective admissions - CCG'!$D$5:$N$215,10,0)*$H451</f>
        <v>108.07731744240164</v>
      </c>
      <c r="R451" s="384">
        <f>VLOOKUP($A451,'8.Non-elective admissions - CCG'!$D$5:$Q$215,11,0)*$H451</f>
        <v>97.56818595171741</v>
      </c>
      <c r="S451" s="384">
        <f>VLOOKUP($A451,'8.Non-elective admissions - CCG'!$D$5:$Q$215,12,0)*$H451</f>
        <v>95.314903365232894</v>
      </c>
      <c r="T451" s="384">
        <f>VLOOKUP($A451,'8.Non-elective admissions - CCG'!$D$5:$Q$215,13,0)*$H451</f>
        <v>97.616746460113106</v>
      </c>
      <c r="U451" s="384">
        <f>VLOOKUP($A451,'8.Non-elective admissions - CCG'!$D$5:$Q$215,14,0)*$H451</f>
        <v>95.086912715776648</v>
      </c>
    </row>
    <row r="452" spans="1:21">
      <c r="A452" s="395" t="s">
        <v>371</v>
      </c>
      <c r="B452" s="395" t="s">
        <v>1211</v>
      </c>
      <c r="C452" s="395" t="s">
        <v>742</v>
      </c>
      <c r="D452" s="395" t="s">
        <v>342</v>
      </c>
      <c r="E452" s="537">
        <f>COUNTIF($D$5:D452,D452)</f>
        <v>7</v>
      </c>
      <c r="F452" s="537" t="str">
        <f t="shared" si="12"/>
        <v>Nottinghamshire7</v>
      </c>
      <c r="G452" s="541" t="str">
        <f t="shared" si="13"/>
        <v>NHS Mansfield and Ashfield CCG</v>
      </c>
      <c r="H452" s="546">
        <v>0.98125076895919039</v>
      </c>
      <c r="I452" s="546">
        <v>0.22410938887809692</v>
      </c>
      <c r="J452" s="384">
        <f>VLOOKUP($A452,'8.Non-elective admissions - CCG'!$D$5:$N$215,3,0)*$H452</f>
        <v>5969.9296783477139</v>
      </c>
      <c r="K452" s="384">
        <f>VLOOKUP($A452,'8.Non-elective admissions - CCG'!$D$5:$N$215,4,0)*$H452</f>
        <v>5781.5295307075494</v>
      </c>
      <c r="L452" s="384">
        <f>VLOOKUP($A452,'8.Non-elective admissions - CCG'!$D$5:$N$215,5,0)*$H452</f>
        <v>5923.8108922066322</v>
      </c>
      <c r="M452" s="384">
        <f>VLOOKUP($A452,'8.Non-elective admissions - CCG'!$D$5:$N$215,6,0)*$H452</f>
        <v>5627.4731599809566</v>
      </c>
      <c r="N452" s="384">
        <f>VLOOKUP($A452,'8.Non-elective admissions - CCG'!$D$5:$N$215,7,0)*$H452</f>
        <v>5802.4497971017599</v>
      </c>
      <c r="O452" s="384">
        <f>VLOOKUP($A452,'8.Non-elective admissions - CCG'!$D$5:$N$215,8,0)*$H452</f>
        <v>5668.7838173541395</v>
      </c>
      <c r="P452" s="384">
        <f>VLOOKUP($A452,'8.Non-elective admissions - CCG'!$D$5:$N$215,9,0)*$H452</f>
        <v>5809.1811773768204</v>
      </c>
      <c r="Q452" s="384">
        <f>VLOOKUP($A452,'8.Non-elective admissions - CCG'!$D$5:$N$215,10,0)*$H452</f>
        <v>5656.2826825575994</v>
      </c>
      <c r="R452" s="384">
        <f>VLOOKUP($A452,'8.Non-elective admissions - CCG'!$D$5:$Q$215,11,0)*$H452</f>
        <v>5106.2818140482832</v>
      </c>
      <c r="S452" s="384">
        <f>VLOOKUP($A452,'8.Non-elective admissions - CCG'!$D$5:$Q$215,12,0)*$H452</f>
        <v>4988.3550966347675</v>
      </c>
      <c r="T452" s="384">
        <f>VLOOKUP($A452,'8.Non-elective admissions - CCG'!$D$5:$Q$215,13,0)*$H452</f>
        <v>5108.8232535398874</v>
      </c>
      <c r="U452" s="384">
        <f>VLOOKUP($A452,'8.Non-elective admissions - CCG'!$D$5:$Q$215,14,0)*$H452</f>
        <v>4976.4230872842236</v>
      </c>
    </row>
    <row r="453" spans="1:21">
      <c r="A453" s="395" t="s">
        <v>374</v>
      </c>
      <c r="B453" s="395" t="s">
        <v>373</v>
      </c>
      <c r="C453" s="395" t="s">
        <v>712</v>
      </c>
      <c r="D453" s="395" t="s">
        <v>252</v>
      </c>
      <c r="E453" s="537">
        <f>COUNTIF($D$5:D453,D453)</f>
        <v>10</v>
      </c>
      <c r="F453" s="537" t="str">
        <f t="shared" ref="F453:F516" si="14">D453&amp;E453</f>
        <v>Kent10</v>
      </c>
      <c r="G453" s="541" t="str">
        <f t="shared" ref="G453:G516" si="15">B453</f>
        <v>NHS Medway CCG</v>
      </c>
      <c r="H453" s="546">
        <v>5.9151743766891841E-2</v>
      </c>
      <c r="I453" s="546">
        <v>1.1285550102118843E-2</v>
      </c>
      <c r="J453" s="384">
        <f>VLOOKUP($A453,'8.Non-elective admissions - CCG'!$D$5:$N$215,3,0)*$H453</f>
        <v>366.85911484226318</v>
      </c>
      <c r="K453" s="384">
        <f>VLOOKUP($A453,'8.Non-elective admissions - CCG'!$D$5:$N$215,4,0)*$H453</f>
        <v>362.71849277858075</v>
      </c>
      <c r="L453" s="384">
        <f>VLOOKUP($A453,'8.Non-elective admissions - CCG'!$D$5:$N$215,5,0)*$H453</f>
        <v>393.00418558722941</v>
      </c>
      <c r="M453" s="384">
        <f>VLOOKUP($A453,'8.Non-elective admissions - CCG'!$D$5:$N$215,6,0)*$H453</f>
        <v>388.15374259834425</v>
      </c>
      <c r="N453" s="384">
        <f>VLOOKUP($A453,'8.Non-elective admissions - CCG'!$D$5:$N$215,7,0)*$H453</f>
        <v>346.27430801138485</v>
      </c>
      <c r="O453" s="384">
        <f>VLOOKUP($A453,'8.Non-elective admissions - CCG'!$D$5:$N$215,8,0)*$H453</f>
        <v>350.06001961246591</v>
      </c>
      <c r="P453" s="384">
        <f>VLOOKUP($A453,'8.Non-elective admissions - CCG'!$D$5:$N$215,9,0)*$H453</f>
        <v>350.06001961246591</v>
      </c>
      <c r="Q453" s="384">
        <f>VLOOKUP($A453,'8.Non-elective admissions - CCG'!$D$5:$N$215,10,0)*$H453</f>
        <v>342.8435068729051</v>
      </c>
      <c r="R453" s="384">
        <f>VLOOKUP($A453,'8.Non-elective admissions - CCG'!$D$5:$Q$215,11,0)*$H453</f>
        <v>320.66160296032069</v>
      </c>
      <c r="S453" s="384">
        <f>VLOOKUP($A453,'8.Non-elective admissions - CCG'!$D$5:$Q$215,12,0)*$H453</f>
        <v>318.82789890354701</v>
      </c>
      <c r="T453" s="384">
        <f>VLOOKUP($A453,'8.Non-elective admissions - CCG'!$D$5:$Q$215,13,0)*$H453</f>
        <v>324.86137676776997</v>
      </c>
      <c r="U453" s="384">
        <f>VLOOKUP($A453,'8.Non-elective admissions - CCG'!$D$5:$Q$215,14,0)*$H453</f>
        <v>323.97410061126664</v>
      </c>
    </row>
    <row r="454" spans="1:21">
      <c r="A454" s="395" t="s">
        <v>374</v>
      </c>
      <c r="B454" s="395" t="s">
        <v>373</v>
      </c>
      <c r="C454" s="395" t="s">
        <v>727</v>
      </c>
      <c r="D454" s="395" t="s">
        <v>297</v>
      </c>
      <c r="E454" s="537">
        <f>COUNTIF($D$5:D454,D454)</f>
        <v>2</v>
      </c>
      <c r="F454" s="537" t="str">
        <f t="shared" si="14"/>
        <v>Medway2</v>
      </c>
      <c r="G454" s="541" t="str">
        <f t="shared" si="15"/>
        <v>NHS Medway CCG</v>
      </c>
      <c r="H454" s="546">
        <v>0.9408482562331083</v>
      </c>
      <c r="I454" s="546">
        <v>0.99537303127903143</v>
      </c>
      <c r="J454" s="384">
        <f>VLOOKUP($A454,'8.Non-elective admissions - CCG'!$D$5:$N$215,3,0)*$H454</f>
        <v>5835.140885157738</v>
      </c>
      <c r="K454" s="384">
        <f>VLOOKUP($A454,'8.Non-elective admissions - CCG'!$D$5:$N$215,4,0)*$H454</f>
        <v>5769.2815072214198</v>
      </c>
      <c r="L454" s="384">
        <f>VLOOKUP($A454,'8.Non-elective admissions - CCG'!$D$5:$N$215,5,0)*$H454</f>
        <v>6250.9958144127713</v>
      </c>
      <c r="M454" s="384">
        <f>VLOOKUP($A454,'8.Non-elective admissions - CCG'!$D$5:$N$215,6,0)*$H454</f>
        <v>6173.8462574016567</v>
      </c>
      <c r="N454" s="384">
        <f>VLOOKUP($A454,'8.Non-elective admissions - CCG'!$D$5:$N$215,7,0)*$H454</f>
        <v>5507.7256919886158</v>
      </c>
      <c r="O454" s="384">
        <f>VLOOKUP($A454,'8.Non-elective admissions - CCG'!$D$5:$N$215,8,0)*$H454</f>
        <v>5567.9399803875349</v>
      </c>
      <c r="P454" s="384">
        <f>VLOOKUP($A454,'8.Non-elective admissions - CCG'!$D$5:$N$215,9,0)*$H454</f>
        <v>5567.9399803875349</v>
      </c>
      <c r="Q454" s="384">
        <f>VLOOKUP($A454,'8.Non-elective admissions - CCG'!$D$5:$N$215,10,0)*$H454</f>
        <v>5453.1564931270959</v>
      </c>
      <c r="R454" s="384">
        <f>VLOOKUP($A454,'8.Non-elective admissions - CCG'!$D$5:$Q$215,11,0)*$H454</f>
        <v>5100.3383970396799</v>
      </c>
      <c r="S454" s="384">
        <f>VLOOKUP($A454,'8.Non-elective admissions - CCG'!$D$5:$Q$215,12,0)*$H454</f>
        <v>5071.1721010964538</v>
      </c>
      <c r="T454" s="384">
        <f>VLOOKUP($A454,'8.Non-elective admissions - CCG'!$D$5:$Q$215,13,0)*$H454</f>
        <v>5167.1386232322311</v>
      </c>
      <c r="U454" s="384">
        <f>VLOOKUP($A454,'8.Non-elective admissions - CCG'!$D$5:$Q$215,14,0)*$H454</f>
        <v>5153.0258993887346</v>
      </c>
    </row>
    <row r="455" spans="1:21">
      <c r="A455" s="395" t="s">
        <v>377</v>
      </c>
      <c r="B455" s="395" t="s">
        <v>376</v>
      </c>
      <c r="C455" s="395" t="s">
        <v>679</v>
      </c>
      <c r="D455" s="395" t="s">
        <v>132</v>
      </c>
      <c r="E455" s="537">
        <f>COUNTIF($D$5:D455,D455)</f>
        <v>5</v>
      </c>
      <c r="F455" s="537" t="str">
        <f t="shared" si="14"/>
        <v>Croydon5</v>
      </c>
      <c r="G455" s="541" t="str">
        <f t="shared" si="15"/>
        <v>NHS Merton CCG</v>
      </c>
      <c r="H455" s="546">
        <v>6.9910215176381329E-3</v>
      </c>
      <c r="I455" s="546">
        <v>3.7874680700303348E-3</v>
      </c>
      <c r="J455" s="384">
        <f>VLOOKUP($A455,'8.Non-elective admissions - CCG'!$D$5:$N$215,3,0)*$H455</f>
        <v>27.118172466918317</v>
      </c>
      <c r="K455" s="384">
        <f>VLOOKUP($A455,'8.Non-elective admissions - CCG'!$D$5:$N$215,4,0)*$H455</f>
        <v>26.62180993916601</v>
      </c>
      <c r="L455" s="384">
        <f>VLOOKUP($A455,'8.Non-elective admissions - CCG'!$D$5:$N$215,5,0)*$H455</f>
        <v>29.299371180421414</v>
      </c>
      <c r="M455" s="384">
        <f>VLOOKUP($A455,'8.Non-elective admissions - CCG'!$D$5:$N$215,6,0)*$H455</f>
        <v>27.698427252882283</v>
      </c>
      <c r="N455" s="384">
        <f>VLOOKUP($A455,'8.Non-elective admissions - CCG'!$D$5:$N$215,7,0)*$H455</f>
        <v>27.719400317435198</v>
      </c>
      <c r="O455" s="384">
        <f>VLOOKUP($A455,'8.Non-elective admissions - CCG'!$D$5:$N$215,8,0)*$H455</f>
        <v>27.509669671906053</v>
      </c>
      <c r="P455" s="384">
        <f>VLOOKUP($A455,'8.Non-elective admissions - CCG'!$D$5:$N$215,9,0)*$H455</f>
        <v>29.152559728551015</v>
      </c>
      <c r="Q455" s="384">
        <f>VLOOKUP($A455,'8.Non-elective admissions - CCG'!$D$5:$N$215,10,0)*$H455</f>
        <v>28.320628167952076</v>
      </c>
      <c r="R455" s="384">
        <f>VLOOKUP($A455,'8.Non-elective admissions - CCG'!$D$5:$Q$215,11,0)*$H455</f>
        <v>28.390538383128458</v>
      </c>
      <c r="S455" s="384">
        <f>VLOOKUP($A455,'8.Non-elective admissions - CCG'!$D$5:$Q$215,12,0)*$H455</f>
        <v>28.173816716081674</v>
      </c>
      <c r="T455" s="384">
        <f>VLOOKUP($A455,'8.Non-elective admissions - CCG'!$D$5:$Q$215,13,0)*$H455</f>
        <v>29.865643923350103</v>
      </c>
      <c r="U455" s="384">
        <f>VLOOKUP($A455,'8.Non-elective admissions - CCG'!$D$5:$Q$215,14,0)*$H455</f>
        <v>29.005748276680613</v>
      </c>
    </row>
    <row r="456" spans="1:21">
      <c r="A456" s="395" t="s">
        <v>377</v>
      </c>
      <c r="B456" s="395" t="s">
        <v>376</v>
      </c>
      <c r="C456" s="395" t="s">
        <v>714</v>
      </c>
      <c r="D456" s="395" t="s">
        <v>258</v>
      </c>
      <c r="E456" s="537">
        <f>COUNTIF($D$5:D456,D456)</f>
        <v>2</v>
      </c>
      <c r="F456" s="537" t="str">
        <f t="shared" si="14"/>
        <v>Kingston upon Thames2</v>
      </c>
      <c r="G456" s="541" t="str">
        <f t="shared" si="15"/>
        <v>NHS Merton CCG</v>
      </c>
      <c r="H456" s="546">
        <v>8.8481570606059184E-3</v>
      </c>
      <c r="I456" s="546">
        <v>1.070461238716798E-2</v>
      </c>
      <c r="J456" s="384">
        <f>VLOOKUP($A456,'8.Non-elective admissions - CCG'!$D$5:$N$215,3,0)*$H456</f>
        <v>34.322001238090358</v>
      </c>
      <c r="K456" s="384">
        <f>VLOOKUP($A456,'8.Non-elective admissions - CCG'!$D$5:$N$215,4,0)*$H456</f>
        <v>33.693782086787337</v>
      </c>
      <c r="L456" s="384">
        <f>VLOOKUP($A456,'8.Non-elective admissions - CCG'!$D$5:$N$215,5,0)*$H456</f>
        <v>37.082626240999403</v>
      </c>
      <c r="M456" s="384">
        <f>VLOOKUP($A456,'8.Non-elective admissions - CCG'!$D$5:$N$215,6,0)*$H456</f>
        <v>35.056398274120646</v>
      </c>
      <c r="N456" s="384">
        <f>VLOOKUP($A456,'8.Non-elective admissions - CCG'!$D$5:$N$215,7,0)*$H456</f>
        <v>35.082942745302468</v>
      </c>
      <c r="O456" s="384">
        <f>VLOOKUP($A456,'8.Non-elective admissions - CCG'!$D$5:$N$215,8,0)*$H456</f>
        <v>34.817498033484291</v>
      </c>
      <c r="P456" s="384">
        <f>VLOOKUP($A456,'8.Non-elective admissions - CCG'!$D$5:$N$215,9,0)*$H456</f>
        <v>36.896814942726678</v>
      </c>
      <c r="Q456" s="384">
        <f>VLOOKUP($A456,'8.Non-elective admissions - CCG'!$D$5:$N$215,10,0)*$H456</f>
        <v>35.843884252514577</v>
      </c>
      <c r="R456" s="384">
        <f>VLOOKUP($A456,'8.Non-elective admissions - CCG'!$D$5:$Q$215,11,0)*$H456</f>
        <v>35.932365823120634</v>
      </c>
      <c r="S456" s="384">
        <f>VLOOKUP($A456,'8.Non-elective admissions - CCG'!$D$5:$Q$215,12,0)*$H456</f>
        <v>35.658072954241852</v>
      </c>
      <c r="T456" s="384">
        <f>VLOOKUP($A456,'8.Non-elective admissions - CCG'!$D$5:$Q$215,13,0)*$H456</f>
        <v>37.799326962908481</v>
      </c>
      <c r="U456" s="384">
        <f>VLOOKUP($A456,'8.Non-elective admissions - CCG'!$D$5:$Q$215,14,0)*$H456</f>
        <v>36.711003644453953</v>
      </c>
    </row>
    <row r="457" spans="1:21">
      <c r="A457" s="395" t="s">
        <v>377</v>
      </c>
      <c r="B457" s="395" t="s">
        <v>376</v>
      </c>
      <c r="C457" s="395" t="s">
        <v>717</v>
      </c>
      <c r="D457" s="395" t="s">
        <v>267</v>
      </c>
      <c r="E457" s="537">
        <f>COUNTIF($D$5:D457,D457)</f>
        <v>4</v>
      </c>
      <c r="F457" s="537" t="str">
        <f t="shared" si="14"/>
        <v>Lambeth4</v>
      </c>
      <c r="G457" s="541" t="str">
        <f t="shared" si="15"/>
        <v>NHS Merton CCG</v>
      </c>
      <c r="H457" s="546">
        <v>1.2771879523567934E-2</v>
      </c>
      <c r="I457" s="546">
        <v>7.8688675024948685E-3</v>
      </c>
      <c r="J457" s="384">
        <f>VLOOKUP($A457,'8.Non-elective admissions - CCG'!$D$5:$N$215,3,0)*$H457</f>
        <v>49.542120671920017</v>
      </c>
      <c r="K457" s="384">
        <f>VLOOKUP($A457,'8.Non-elective admissions - CCG'!$D$5:$N$215,4,0)*$H457</f>
        <v>48.635317225746689</v>
      </c>
      <c r="L457" s="384">
        <f>VLOOKUP($A457,'8.Non-elective admissions - CCG'!$D$5:$N$215,5,0)*$H457</f>
        <v>53.526947083273207</v>
      </c>
      <c r="M457" s="384">
        <f>VLOOKUP($A457,'8.Non-elective admissions - CCG'!$D$5:$N$215,6,0)*$H457</f>
        <v>50.602186672376156</v>
      </c>
      <c r="N457" s="384">
        <f>VLOOKUP($A457,'8.Non-elective admissions - CCG'!$D$5:$N$215,7,0)*$H457</f>
        <v>50.640502310946857</v>
      </c>
      <c r="O457" s="384">
        <f>VLOOKUP($A457,'8.Non-elective admissions - CCG'!$D$5:$N$215,8,0)*$H457</f>
        <v>50.257345925239818</v>
      </c>
      <c r="P457" s="384">
        <f>VLOOKUP($A457,'8.Non-elective admissions - CCG'!$D$5:$N$215,9,0)*$H457</f>
        <v>53.258737613278285</v>
      </c>
      <c r="Q457" s="384">
        <f>VLOOKUP($A457,'8.Non-elective admissions - CCG'!$D$5:$N$215,10,0)*$H457</f>
        <v>51.738883949973697</v>
      </c>
      <c r="R457" s="384">
        <f>VLOOKUP($A457,'8.Non-elective admissions - CCG'!$D$5:$Q$215,11,0)*$H457</f>
        <v>51.866602745209377</v>
      </c>
      <c r="S457" s="384">
        <f>VLOOKUP($A457,'8.Non-elective admissions - CCG'!$D$5:$Q$215,12,0)*$H457</f>
        <v>51.470674479978776</v>
      </c>
      <c r="T457" s="384">
        <f>VLOOKUP($A457,'8.Non-elective admissions - CCG'!$D$5:$Q$215,13,0)*$H457</f>
        <v>54.561469324682214</v>
      </c>
      <c r="U457" s="384">
        <f>VLOOKUP($A457,'8.Non-elective admissions - CCG'!$D$5:$Q$215,14,0)*$H457</f>
        <v>52.990528143283356</v>
      </c>
    </row>
    <row r="458" spans="1:21">
      <c r="A458" s="395" t="s">
        <v>377</v>
      </c>
      <c r="B458" s="395" t="s">
        <v>376</v>
      </c>
      <c r="C458" s="395" t="s">
        <v>728</v>
      </c>
      <c r="D458" s="395" t="s">
        <v>300</v>
      </c>
      <c r="E458" s="537">
        <f>COUNTIF($D$5:D458,D458)</f>
        <v>4</v>
      </c>
      <c r="F458" s="537" t="str">
        <f t="shared" si="14"/>
        <v>Merton4</v>
      </c>
      <c r="G458" s="541" t="str">
        <f t="shared" si="15"/>
        <v>NHS Merton CCG</v>
      </c>
      <c r="H458" s="546">
        <v>0.87767108686646778</v>
      </c>
      <c r="I458" s="546">
        <v>0.82021870758951865</v>
      </c>
      <c r="J458" s="384">
        <f>VLOOKUP($A458,'8.Non-elective admissions - CCG'!$D$5:$N$215,3,0)*$H458</f>
        <v>3404.4861459550284</v>
      </c>
      <c r="K458" s="384">
        <f>VLOOKUP($A458,'8.Non-elective admissions - CCG'!$D$5:$N$215,4,0)*$H458</f>
        <v>3342.1714987875093</v>
      </c>
      <c r="L458" s="384">
        <f>VLOOKUP($A458,'8.Non-elective admissions - CCG'!$D$5:$N$215,5,0)*$H458</f>
        <v>3678.3195250573663</v>
      </c>
      <c r="M458" s="384">
        <f>VLOOKUP($A458,'8.Non-elective admissions - CCG'!$D$5:$N$215,6,0)*$H458</f>
        <v>3477.3328461649453</v>
      </c>
      <c r="N458" s="384">
        <f>VLOOKUP($A458,'8.Non-elective admissions - CCG'!$D$5:$N$215,7,0)*$H458</f>
        <v>3479.9658594255447</v>
      </c>
      <c r="O458" s="384">
        <f>VLOOKUP($A458,'8.Non-elective admissions - CCG'!$D$5:$N$215,8,0)*$H458</f>
        <v>3453.6357268195507</v>
      </c>
      <c r="P458" s="384">
        <f>VLOOKUP($A458,'8.Non-elective admissions - CCG'!$D$5:$N$215,9,0)*$H458</f>
        <v>3659.8884322331705</v>
      </c>
      <c r="Q458" s="384">
        <f>VLOOKUP($A458,'8.Non-elective admissions - CCG'!$D$5:$N$215,10,0)*$H458</f>
        <v>3555.4455728960611</v>
      </c>
      <c r="R458" s="384">
        <f>VLOOKUP($A458,'8.Non-elective admissions - CCG'!$D$5:$Q$215,11,0)*$H458</f>
        <v>3564.2222837647255</v>
      </c>
      <c r="S458" s="384">
        <f>VLOOKUP($A458,'8.Non-elective admissions - CCG'!$D$5:$Q$215,12,0)*$H458</f>
        <v>3537.0144800718649</v>
      </c>
      <c r="T458" s="384">
        <f>VLOOKUP($A458,'8.Non-elective admissions - CCG'!$D$5:$Q$215,13,0)*$H458</f>
        <v>3749.4108830935502</v>
      </c>
      <c r="U458" s="384">
        <f>VLOOKUP($A458,'8.Non-elective admissions - CCG'!$D$5:$Q$215,14,0)*$H458</f>
        <v>3641.4573394089748</v>
      </c>
    </row>
    <row r="459" spans="1:21">
      <c r="A459" s="395" t="s">
        <v>377</v>
      </c>
      <c r="B459" s="395" t="s">
        <v>376</v>
      </c>
      <c r="C459" s="395" t="s">
        <v>775</v>
      </c>
      <c r="D459" s="395" t="s">
        <v>441</v>
      </c>
      <c r="E459" s="537">
        <f>COUNTIF($D$5:D459,D459)</f>
        <v>11</v>
      </c>
      <c r="F459" s="537" t="str">
        <f t="shared" si="14"/>
        <v>Surrey11</v>
      </c>
      <c r="G459" s="541" t="str">
        <f t="shared" si="15"/>
        <v>NHS Merton CCG</v>
      </c>
      <c r="H459" s="546">
        <v>2.2062211713451897E-3</v>
      </c>
      <c r="I459" s="546">
        <v>0</v>
      </c>
      <c r="J459" s="384">
        <f>VLOOKUP($A459,'8.Non-elective admissions - CCG'!$D$5:$N$215,3,0)*$H459</f>
        <v>8.5579319236479918</v>
      </c>
      <c r="K459" s="384">
        <f>VLOOKUP($A459,'8.Non-elective admissions - CCG'!$D$5:$N$215,4,0)*$H459</f>
        <v>8.4012902204824833</v>
      </c>
      <c r="L459" s="384">
        <f>VLOOKUP($A459,'8.Non-elective admissions - CCG'!$D$5:$N$215,5,0)*$H459</f>
        <v>9.2462729291076897</v>
      </c>
      <c r="M459" s="384">
        <f>VLOOKUP($A459,'8.Non-elective admissions - CCG'!$D$5:$N$215,6,0)*$H459</f>
        <v>8.7410482808696415</v>
      </c>
      <c r="N459" s="384">
        <f>VLOOKUP($A459,'8.Non-elective admissions - CCG'!$D$5:$N$215,7,0)*$H459</f>
        <v>8.7476669443836776</v>
      </c>
      <c r="O459" s="384">
        <f>VLOOKUP($A459,'8.Non-elective admissions - CCG'!$D$5:$N$215,8,0)*$H459</f>
        <v>8.6814803092433213</v>
      </c>
      <c r="P459" s="384">
        <f>VLOOKUP($A459,'8.Non-elective admissions - CCG'!$D$5:$N$215,9,0)*$H459</f>
        <v>9.1999422845094418</v>
      </c>
      <c r="Q459" s="384">
        <f>VLOOKUP($A459,'8.Non-elective admissions - CCG'!$D$5:$N$215,10,0)*$H459</f>
        <v>8.9374019651193635</v>
      </c>
      <c r="R459" s="384">
        <f>VLOOKUP($A459,'8.Non-elective admissions - CCG'!$D$5:$Q$215,11,0)*$H459</f>
        <v>8.9594641768328156</v>
      </c>
      <c r="S459" s="384">
        <f>VLOOKUP($A459,'8.Non-elective admissions - CCG'!$D$5:$Q$215,12,0)*$H459</f>
        <v>8.8910713205211138</v>
      </c>
      <c r="T459" s="384">
        <f>VLOOKUP($A459,'8.Non-elective admissions - CCG'!$D$5:$Q$215,13,0)*$H459</f>
        <v>9.4249768439866504</v>
      </c>
      <c r="U459" s="384">
        <f>VLOOKUP($A459,'8.Non-elective admissions - CCG'!$D$5:$Q$215,14,0)*$H459</f>
        <v>9.1536116399111922</v>
      </c>
    </row>
    <row r="460" spans="1:21">
      <c r="A460" s="395" t="s">
        <v>377</v>
      </c>
      <c r="B460" s="395" t="s">
        <v>376</v>
      </c>
      <c r="C460" s="395" t="s">
        <v>776</v>
      </c>
      <c r="D460" s="395" t="s">
        <v>444</v>
      </c>
      <c r="E460" s="537">
        <f>COUNTIF($D$5:D460,D460)</f>
        <v>4</v>
      </c>
      <c r="F460" s="537" t="str">
        <f t="shared" si="14"/>
        <v>Sutton4</v>
      </c>
      <c r="G460" s="541" t="str">
        <f t="shared" si="15"/>
        <v>NHS Merton CCG</v>
      </c>
      <c r="H460" s="546">
        <v>6.0959659664784706E-2</v>
      </c>
      <c r="I460" s="546">
        <v>6.387035736579276E-2</v>
      </c>
      <c r="J460" s="384">
        <f>VLOOKUP($A460,'8.Non-elective admissions - CCG'!$D$5:$N$215,3,0)*$H460</f>
        <v>236.46251983969987</v>
      </c>
      <c r="K460" s="384">
        <f>VLOOKUP($A460,'8.Non-elective admissions - CCG'!$D$5:$N$215,4,0)*$H460</f>
        <v>232.13438400350017</v>
      </c>
      <c r="L460" s="384">
        <f>VLOOKUP($A460,'8.Non-elective admissions - CCG'!$D$5:$N$215,5,0)*$H460</f>
        <v>255.4819336551127</v>
      </c>
      <c r="M460" s="384">
        <f>VLOOKUP($A460,'8.Non-elective admissions - CCG'!$D$5:$N$215,6,0)*$H460</f>
        <v>241.522171591877</v>
      </c>
      <c r="N460" s="384">
        <f>VLOOKUP($A460,'8.Non-elective admissions - CCG'!$D$5:$N$215,7,0)*$H460</f>
        <v>241.70505057087135</v>
      </c>
      <c r="O460" s="384">
        <f>VLOOKUP($A460,'8.Non-elective admissions - CCG'!$D$5:$N$215,8,0)*$H460</f>
        <v>239.87626078092782</v>
      </c>
      <c r="P460" s="384">
        <f>VLOOKUP($A460,'8.Non-elective admissions - CCG'!$D$5:$N$215,9,0)*$H460</f>
        <v>254.20178080215223</v>
      </c>
      <c r="Q460" s="384">
        <f>VLOOKUP($A460,'8.Non-elective admissions - CCG'!$D$5:$N$215,10,0)*$H460</f>
        <v>246.94758130204283</v>
      </c>
      <c r="R460" s="384">
        <f>VLOOKUP($A460,'8.Non-elective admissions - CCG'!$D$5:$Q$215,11,0)*$H460</f>
        <v>247.5571778986907</v>
      </c>
      <c r="S460" s="384">
        <f>VLOOKUP($A460,'8.Non-elective admissions - CCG'!$D$5:$Q$215,12,0)*$H460</f>
        <v>245.66742844908237</v>
      </c>
      <c r="T460" s="384">
        <f>VLOOKUP($A460,'8.Non-elective admissions - CCG'!$D$5:$Q$215,13,0)*$H460</f>
        <v>260.41966608796025</v>
      </c>
      <c r="U460" s="384">
        <f>VLOOKUP($A460,'8.Non-elective admissions - CCG'!$D$5:$Q$215,14,0)*$H460</f>
        <v>252.92162794919173</v>
      </c>
    </row>
    <row r="461" spans="1:21">
      <c r="A461" s="395" t="s">
        <v>377</v>
      </c>
      <c r="B461" s="395" t="s">
        <v>376</v>
      </c>
      <c r="C461" s="395" t="s">
        <v>787</v>
      </c>
      <c r="D461" s="395" t="s">
        <v>477</v>
      </c>
      <c r="E461" s="537">
        <f>COUNTIF($D$5:D461,D461)</f>
        <v>4</v>
      </c>
      <c r="F461" s="537" t="str">
        <f t="shared" si="14"/>
        <v>Wandsworth4</v>
      </c>
      <c r="G461" s="541" t="str">
        <f t="shared" si="15"/>
        <v>NHS Merton CCG</v>
      </c>
      <c r="H461" s="546">
        <v>3.0551974195590349E-2</v>
      </c>
      <c r="I461" s="546">
        <v>1.8763399365406056E-2</v>
      </c>
      <c r="J461" s="384">
        <f>VLOOKUP($A461,'8.Non-elective admissions - CCG'!$D$5:$N$215,3,0)*$H461</f>
        <v>118.51110790469497</v>
      </c>
      <c r="K461" s="384">
        <f>VLOOKUP($A461,'8.Non-elective admissions - CCG'!$D$5:$N$215,4,0)*$H461</f>
        <v>116.34191773680804</v>
      </c>
      <c r="L461" s="384">
        <f>VLOOKUP($A461,'8.Non-elective admissions - CCG'!$D$5:$N$215,5,0)*$H461</f>
        <v>128.04332385371916</v>
      </c>
      <c r="M461" s="384">
        <f>VLOOKUP($A461,'8.Non-elective admissions - CCG'!$D$5:$N$215,6,0)*$H461</f>
        <v>121.04692176292896</v>
      </c>
      <c r="N461" s="384">
        <f>VLOOKUP($A461,'8.Non-elective admissions - CCG'!$D$5:$N$215,7,0)*$H461</f>
        <v>121.13857768551573</v>
      </c>
      <c r="O461" s="384">
        <f>VLOOKUP($A461,'8.Non-elective admissions - CCG'!$D$5:$N$215,8,0)*$H461</f>
        <v>120.22201845964803</v>
      </c>
      <c r="P461" s="384">
        <f>VLOOKUP($A461,'8.Non-elective admissions - CCG'!$D$5:$N$215,9,0)*$H461</f>
        <v>127.40173239561176</v>
      </c>
      <c r="Q461" s="384">
        <f>VLOOKUP($A461,'8.Non-elective admissions - CCG'!$D$5:$N$215,10,0)*$H461</f>
        <v>123.7660474663365</v>
      </c>
      <c r="R461" s="384">
        <f>VLOOKUP($A461,'8.Non-elective admissions - CCG'!$D$5:$Q$215,11,0)*$H461</f>
        <v>124.07156720829241</v>
      </c>
      <c r="S461" s="384">
        <f>VLOOKUP($A461,'8.Non-elective admissions - CCG'!$D$5:$Q$215,12,0)*$H461</f>
        <v>123.1244560082291</v>
      </c>
      <c r="T461" s="384">
        <f>VLOOKUP($A461,'8.Non-elective admissions - CCG'!$D$5:$Q$215,13,0)*$H461</f>
        <v>130.51803376356196</v>
      </c>
      <c r="U461" s="384">
        <f>VLOOKUP($A461,'8.Non-elective admissions - CCG'!$D$5:$Q$215,14,0)*$H461</f>
        <v>126.76014093750436</v>
      </c>
    </row>
    <row r="462" spans="1:21">
      <c r="A462" s="395" t="s">
        <v>380</v>
      </c>
      <c r="B462" s="395" t="s">
        <v>379</v>
      </c>
      <c r="C462" s="395" t="s">
        <v>692</v>
      </c>
      <c r="D462" s="395" t="s">
        <v>180</v>
      </c>
      <c r="E462" s="537">
        <f>COUNTIF($D$5:D462,D462)</f>
        <v>7</v>
      </c>
      <c r="F462" s="537" t="str">
        <f t="shared" si="14"/>
        <v>Essex7</v>
      </c>
      <c r="G462" s="541" t="str">
        <f t="shared" si="15"/>
        <v>NHS Mid Essex CCG</v>
      </c>
      <c r="H462" s="546">
        <v>1</v>
      </c>
      <c r="I462" s="546">
        <v>0.25696644262482132</v>
      </c>
      <c r="J462" s="384">
        <f>VLOOKUP($A462,'8.Non-elective admissions - CCG'!$D$5:$N$215,3,0)*$H462</f>
        <v>7672</v>
      </c>
      <c r="K462" s="384">
        <f>VLOOKUP($A462,'8.Non-elective admissions - CCG'!$D$5:$N$215,4,0)*$H462</f>
        <v>7775</v>
      </c>
      <c r="L462" s="384">
        <f>VLOOKUP($A462,'8.Non-elective admissions - CCG'!$D$5:$N$215,5,0)*$H462</f>
        <v>8473</v>
      </c>
      <c r="M462" s="384">
        <f>VLOOKUP($A462,'8.Non-elective admissions - CCG'!$D$5:$N$215,6,0)*$H462</f>
        <v>8417</v>
      </c>
      <c r="N462" s="384">
        <f>VLOOKUP($A462,'8.Non-elective admissions - CCG'!$D$5:$N$215,7,0)*$H462</f>
        <v>8211</v>
      </c>
      <c r="O462" s="384">
        <f>VLOOKUP($A462,'8.Non-elective admissions - CCG'!$D$5:$N$215,8,0)*$H462</f>
        <v>8301</v>
      </c>
      <c r="P462" s="384">
        <f>VLOOKUP($A462,'8.Non-elective admissions - CCG'!$D$5:$N$215,9,0)*$H462</f>
        <v>8301</v>
      </c>
      <c r="Q462" s="384">
        <f>VLOOKUP($A462,'8.Non-elective admissions - CCG'!$D$5:$N$215,10,0)*$H462</f>
        <v>8120</v>
      </c>
      <c r="R462" s="384">
        <f>VLOOKUP($A462,'8.Non-elective admissions - CCG'!$D$5:$Q$215,11,0)*$H462</f>
        <v>8175</v>
      </c>
      <c r="S462" s="384">
        <f>VLOOKUP($A462,'8.Non-elective admissions - CCG'!$D$5:$Q$215,12,0)*$H462</f>
        <v>8265</v>
      </c>
      <c r="T462" s="384">
        <f>VLOOKUP($A462,'8.Non-elective admissions - CCG'!$D$5:$Q$215,13,0)*$H462</f>
        <v>8265</v>
      </c>
      <c r="U462" s="384">
        <f>VLOOKUP($A462,'8.Non-elective admissions - CCG'!$D$5:$Q$215,14,0)*$H462</f>
        <v>8173</v>
      </c>
    </row>
    <row r="463" spans="1:21">
      <c r="A463" s="395" t="s">
        <v>383</v>
      </c>
      <c r="B463" s="395" t="s">
        <v>382</v>
      </c>
      <c r="C463" s="395" t="s">
        <v>667</v>
      </c>
      <c r="D463" s="395" t="s">
        <v>86</v>
      </c>
      <c r="E463" s="537">
        <f>COUNTIF($D$5:D463,D463)</f>
        <v>6</v>
      </c>
      <c r="F463" s="537" t="str">
        <f t="shared" si="14"/>
        <v>Buckinghamshire6</v>
      </c>
      <c r="G463" s="541" t="str">
        <f t="shared" si="15"/>
        <v>NHS Milton Keynes CCG</v>
      </c>
      <c r="H463" s="546">
        <v>1.2196092331508019E-2</v>
      </c>
      <c r="I463" s="546">
        <v>6.3351187646894166E-3</v>
      </c>
      <c r="J463" s="384">
        <f>VLOOKUP($A463,'8.Non-elective admissions - CCG'!$D$5:$N$215,3,0)*$H463</f>
        <v>89.799827836893542</v>
      </c>
      <c r="K463" s="384">
        <f>VLOOKUP($A463,'8.Non-elective admissions - CCG'!$D$5:$N$215,4,0)*$H463</f>
        <v>88.909513096693459</v>
      </c>
      <c r="L463" s="384">
        <f>VLOOKUP($A463,'8.Non-elective admissions - CCG'!$D$5:$N$215,5,0)*$H463</f>
        <v>90.592573838441567</v>
      </c>
      <c r="M463" s="384">
        <f>VLOOKUP($A463,'8.Non-elective admissions - CCG'!$D$5:$N$215,6,0)*$H463</f>
        <v>81.604053790120162</v>
      </c>
      <c r="N463" s="384">
        <f>VLOOKUP($A463,'8.Non-elective admissions - CCG'!$D$5:$N$215,7,0)*$H463</f>
        <v>89.873004390882599</v>
      </c>
      <c r="O463" s="384">
        <f>VLOOKUP($A463,'8.Non-elective admissions - CCG'!$D$5:$N$215,8,0)*$H463</f>
        <v>88.104571002813927</v>
      </c>
      <c r="P463" s="384">
        <f>VLOOKUP($A463,'8.Non-elective admissions - CCG'!$D$5:$N$215,9,0)*$H463</f>
        <v>88.263120203123535</v>
      </c>
      <c r="Q463" s="384">
        <f>VLOOKUP($A463,'8.Non-elective admissions - CCG'!$D$5:$N$215,10,0)*$H463</f>
        <v>76.054831779284015</v>
      </c>
      <c r="R463" s="384">
        <f>VLOOKUP($A463,'8.Non-elective admissions - CCG'!$D$5:$Q$215,11,0)*$H463</f>
        <v>77.567147228391008</v>
      </c>
      <c r="S463" s="384">
        <f>VLOOKUP($A463,'8.Non-elective admissions - CCG'!$D$5:$Q$215,12,0)*$H463</f>
        <v>76.87196996549504</v>
      </c>
      <c r="T463" s="384">
        <f>VLOOKUP($A463,'8.Non-elective admissions - CCG'!$D$5:$Q$215,13,0)*$H463</f>
        <v>78.262324491286961</v>
      </c>
      <c r="U463" s="384">
        <f>VLOOKUP($A463,'8.Non-elective admissions - CCG'!$D$5:$Q$215,14,0)*$H463</f>
        <v>70.456825399121826</v>
      </c>
    </row>
    <row r="464" spans="1:21">
      <c r="A464" s="395" t="s">
        <v>383</v>
      </c>
      <c r="B464" s="395" t="s">
        <v>382</v>
      </c>
      <c r="C464" s="395" t="s">
        <v>672</v>
      </c>
      <c r="D464" s="395" t="s">
        <v>106</v>
      </c>
      <c r="E464" s="537">
        <f>COUNTIF($D$5:D464,D464)</f>
        <v>6</v>
      </c>
      <c r="F464" s="537" t="str">
        <f t="shared" si="14"/>
        <v>Central Bedfordshire6</v>
      </c>
      <c r="G464" s="541" t="str">
        <f t="shared" si="15"/>
        <v>NHS Milton Keynes CCG</v>
      </c>
      <c r="H464" s="546">
        <v>9.0421799610824582E-4</v>
      </c>
      <c r="I464" s="546">
        <v>9.2218594957487225E-4</v>
      </c>
      <c r="J464" s="384">
        <f>VLOOKUP($A464,'8.Non-elective admissions - CCG'!$D$5:$N$215,3,0)*$H464</f>
        <v>6.6577571053450137</v>
      </c>
      <c r="K464" s="384">
        <f>VLOOKUP($A464,'8.Non-elective admissions - CCG'!$D$5:$N$215,4,0)*$H464</f>
        <v>6.5917491916291118</v>
      </c>
      <c r="L464" s="384">
        <f>VLOOKUP($A464,'8.Non-elective admissions - CCG'!$D$5:$N$215,5,0)*$H464</f>
        <v>6.7165312750920503</v>
      </c>
      <c r="M464" s="384">
        <f>VLOOKUP($A464,'8.Non-elective admissions - CCG'!$D$5:$N$215,6,0)*$H464</f>
        <v>6.0501226119602727</v>
      </c>
      <c r="N464" s="384">
        <f>VLOOKUP($A464,'8.Non-elective admissions - CCG'!$D$5:$N$215,7,0)*$H464</f>
        <v>6.6631824133216631</v>
      </c>
      <c r="O464" s="384">
        <f>VLOOKUP($A464,'8.Non-elective admissions - CCG'!$D$5:$N$215,8,0)*$H464</f>
        <v>6.5320708038859676</v>
      </c>
      <c r="P464" s="384">
        <f>VLOOKUP($A464,'8.Non-elective admissions - CCG'!$D$5:$N$215,9,0)*$H464</f>
        <v>6.5438256378353747</v>
      </c>
      <c r="Q464" s="384">
        <f>VLOOKUP($A464,'8.Non-elective admissions - CCG'!$D$5:$N$215,10,0)*$H464</f>
        <v>5.6387034237310205</v>
      </c>
      <c r="R464" s="384">
        <f>VLOOKUP($A464,'8.Non-elective admissions - CCG'!$D$5:$Q$215,11,0)*$H464</f>
        <v>5.7508264552484434</v>
      </c>
      <c r="S464" s="384">
        <f>VLOOKUP($A464,'8.Non-elective admissions - CCG'!$D$5:$Q$215,12,0)*$H464</f>
        <v>5.6992860294702732</v>
      </c>
      <c r="T464" s="384">
        <f>VLOOKUP($A464,'8.Non-elective admissions - CCG'!$D$5:$Q$215,13,0)*$H464</f>
        <v>5.8023668810266136</v>
      </c>
      <c r="U464" s="384">
        <f>VLOOKUP($A464,'8.Non-elective admissions - CCG'!$D$5:$Q$215,14,0)*$H464</f>
        <v>5.2236673635173361</v>
      </c>
    </row>
    <row r="465" spans="1:21">
      <c r="A465" s="395" t="s">
        <v>383</v>
      </c>
      <c r="B465" s="395" t="s">
        <v>382</v>
      </c>
      <c r="C465" s="395" t="s">
        <v>730</v>
      </c>
      <c r="D465" s="395" t="s">
        <v>306</v>
      </c>
      <c r="E465" s="537">
        <f>COUNTIF($D$5:D465,D465)</f>
        <v>2</v>
      </c>
      <c r="F465" s="537" t="str">
        <f t="shared" si="14"/>
        <v>Milton Keynes2</v>
      </c>
      <c r="G465" s="541" t="str">
        <f t="shared" si="15"/>
        <v>NHS Milton Keynes CCG</v>
      </c>
      <c r="H465" s="546">
        <v>0.95429358873272041</v>
      </c>
      <c r="I465" s="546">
        <v>0.96152374427393295</v>
      </c>
      <c r="J465" s="384">
        <f>VLOOKUP($A465,'8.Non-elective admissions - CCG'!$D$5:$N$215,3,0)*$H465</f>
        <v>7026.4636938390204</v>
      </c>
      <c r="K465" s="384">
        <f>VLOOKUP($A465,'8.Non-elective admissions - CCG'!$D$5:$N$215,4,0)*$H465</f>
        <v>6956.8002618615319</v>
      </c>
      <c r="L465" s="384">
        <f>VLOOKUP($A465,'8.Non-elective admissions - CCG'!$D$5:$N$215,5,0)*$H465</f>
        <v>7088.4927771066468</v>
      </c>
      <c r="M465" s="384">
        <f>VLOOKUP($A465,'8.Non-elective admissions - CCG'!$D$5:$N$215,6,0)*$H465</f>
        <v>6385.1784022106322</v>
      </c>
      <c r="N465" s="384">
        <f>VLOOKUP($A465,'8.Non-elective admissions - CCG'!$D$5:$N$215,7,0)*$H465</f>
        <v>7032.1894553714164</v>
      </c>
      <c r="O465" s="384">
        <f>VLOOKUP($A465,'8.Non-elective admissions - CCG'!$D$5:$N$215,8,0)*$H465</f>
        <v>6893.8168850051725</v>
      </c>
      <c r="P465" s="384">
        <f>VLOOKUP($A465,'8.Non-elective admissions - CCG'!$D$5:$N$215,9,0)*$H465</f>
        <v>6906.2227016586976</v>
      </c>
      <c r="Q465" s="384">
        <f>VLOOKUP($A465,'8.Non-elective admissions - CCG'!$D$5:$N$215,10,0)*$H465</f>
        <v>5950.9748193372443</v>
      </c>
      <c r="R465" s="384">
        <f>VLOOKUP($A465,'8.Non-elective admissions - CCG'!$D$5:$Q$215,11,0)*$H465</f>
        <v>6069.307224340102</v>
      </c>
      <c r="S465" s="384">
        <f>VLOOKUP($A465,'8.Non-elective admissions - CCG'!$D$5:$Q$215,12,0)*$H465</f>
        <v>6014.9124897823367</v>
      </c>
      <c r="T465" s="384">
        <f>VLOOKUP($A465,'8.Non-elective admissions - CCG'!$D$5:$Q$215,13,0)*$H465</f>
        <v>6123.7019588978665</v>
      </c>
      <c r="U465" s="384">
        <f>VLOOKUP($A465,'8.Non-elective admissions - CCG'!$D$5:$Q$215,14,0)*$H465</f>
        <v>5512.9540621089254</v>
      </c>
    </row>
    <row r="466" spans="1:21">
      <c r="A466" s="395" t="s">
        <v>383</v>
      </c>
      <c r="B466" s="395" t="s">
        <v>382</v>
      </c>
      <c r="C466" s="395" t="s">
        <v>739</v>
      </c>
      <c r="D466" s="395" t="s">
        <v>333</v>
      </c>
      <c r="E466" s="537">
        <f>COUNTIF($D$5:D466,D466)</f>
        <v>7</v>
      </c>
      <c r="F466" s="537" t="str">
        <f t="shared" si="14"/>
        <v>Northamptonshire7</v>
      </c>
      <c r="G466" s="541" t="str">
        <f t="shared" si="15"/>
        <v>NHS Milton Keynes CCG</v>
      </c>
      <c r="H466" s="546">
        <v>3.2606100939663346E-2</v>
      </c>
      <c r="I466" s="546">
        <v>1.1990519309856834E-2</v>
      </c>
      <c r="J466" s="384">
        <f>VLOOKUP($A466,'8.Non-elective admissions - CCG'!$D$5:$N$215,3,0)*$H466</f>
        <v>240.07872121874121</v>
      </c>
      <c r="K466" s="384">
        <f>VLOOKUP($A466,'8.Non-elective admissions - CCG'!$D$5:$N$215,4,0)*$H466</f>
        <v>237.6984758501458</v>
      </c>
      <c r="L466" s="384">
        <f>VLOOKUP($A466,'8.Non-elective admissions - CCG'!$D$5:$N$215,5,0)*$H466</f>
        <v>242.19811777981934</v>
      </c>
      <c r="M466" s="384">
        <f>VLOOKUP($A466,'8.Non-elective admissions - CCG'!$D$5:$N$215,6,0)*$H466</f>
        <v>218.16742138728745</v>
      </c>
      <c r="N466" s="384">
        <f>VLOOKUP($A466,'8.Non-elective admissions - CCG'!$D$5:$N$215,7,0)*$H466</f>
        <v>240.27435782437919</v>
      </c>
      <c r="O466" s="384">
        <f>VLOOKUP($A466,'8.Non-elective admissions - CCG'!$D$5:$N$215,8,0)*$H466</f>
        <v>235.546473188128</v>
      </c>
      <c r="P466" s="384">
        <f>VLOOKUP($A466,'8.Non-elective admissions - CCG'!$D$5:$N$215,9,0)*$H466</f>
        <v>235.97035250034364</v>
      </c>
      <c r="Q466" s="384">
        <f>VLOOKUP($A466,'8.Non-elective admissions - CCG'!$D$5:$N$215,10,0)*$H466</f>
        <v>203.33164545974063</v>
      </c>
      <c r="R466" s="384">
        <f>VLOOKUP($A466,'8.Non-elective admissions - CCG'!$D$5:$Q$215,11,0)*$H466</f>
        <v>207.37480197625888</v>
      </c>
      <c r="S466" s="384">
        <f>VLOOKUP($A466,'8.Non-elective admissions - CCG'!$D$5:$Q$215,12,0)*$H466</f>
        <v>205.51625422269808</v>
      </c>
      <c r="T466" s="384">
        <f>VLOOKUP($A466,'8.Non-elective admissions - CCG'!$D$5:$Q$215,13,0)*$H466</f>
        <v>209.23334972981968</v>
      </c>
      <c r="U466" s="384">
        <f>VLOOKUP($A466,'8.Non-elective admissions - CCG'!$D$5:$Q$215,14,0)*$H466</f>
        <v>188.36544512843514</v>
      </c>
    </row>
    <row r="467" spans="1:21">
      <c r="A467" s="395" t="s">
        <v>386</v>
      </c>
      <c r="B467" s="395" t="s">
        <v>385</v>
      </c>
      <c r="C467" s="395" t="s">
        <v>654</v>
      </c>
      <c r="D467" s="395" t="s">
        <v>34</v>
      </c>
      <c r="E467" s="537">
        <f>COUNTIF($D$5:D467,D467)</f>
        <v>3</v>
      </c>
      <c r="F467" s="537" t="str">
        <f t="shared" si="14"/>
        <v>Bedford3</v>
      </c>
      <c r="G467" s="541" t="str">
        <f t="shared" si="15"/>
        <v>NHS Nene CCG</v>
      </c>
      <c r="H467" s="546">
        <v>1.8517602542383364E-3</v>
      </c>
      <c r="I467" s="546">
        <v>6.9094390550563474E-3</v>
      </c>
      <c r="J467" s="384">
        <f>VLOOKUP($A467,'8.Non-elective admissions - CCG'!$D$5:$N$215,3,0)*$H467</f>
        <v>25.080240883404027</v>
      </c>
      <c r="K467" s="384">
        <f>VLOOKUP($A467,'8.Non-elective admissions - CCG'!$D$5:$N$215,4,0)*$H467</f>
        <v>25.769095697980688</v>
      </c>
      <c r="L467" s="384">
        <f>VLOOKUP($A467,'8.Non-elective admissions - CCG'!$D$5:$N$215,5,0)*$H467</f>
        <v>27.720851005947896</v>
      </c>
      <c r="M467" s="384">
        <f>VLOOKUP($A467,'8.Non-elective admissions - CCG'!$D$5:$N$215,6,0)*$H467</f>
        <v>27.750479170015709</v>
      </c>
      <c r="N467" s="384">
        <f>VLOOKUP($A467,'8.Non-elective admissions - CCG'!$D$5:$N$215,7,0)*$H467</f>
        <v>24.08769738713228</v>
      </c>
      <c r="O467" s="384">
        <f>VLOOKUP($A467,'8.Non-elective admissions - CCG'!$D$5:$N$215,8,0)*$H467</f>
        <v>24.67655714798007</v>
      </c>
      <c r="P467" s="384">
        <f>VLOOKUP($A467,'8.Non-elective admissions - CCG'!$D$5:$N$215,9,0)*$H467</f>
        <v>26.052415016879156</v>
      </c>
      <c r="Q467" s="384">
        <f>VLOOKUP($A467,'8.Non-elective admissions - CCG'!$D$5:$N$215,10,0)*$H467</f>
        <v>25.026539836031116</v>
      </c>
      <c r="R467" s="384">
        <f>VLOOKUP($A467,'8.Non-elective admissions - CCG'!$D$5:$Q$215,11,0)*$H467</f>
        <v>24.47841880077657</v>
      </c>
      <c r="S467" s="384">
        <f>VLOOKUP($A467,'8.Non-elective admissions - CCG'!$D$5:$Q$215,12,0)*$H467</f>
        <v>25.072833842387073</v>
      </c>
      <c r="T467" s="384">
        <f>VLOOKUP($A467,'8.Non-elective admissions - CCG'!$D$5:$Q$215,13,0)*$H467</f>
        <v>26.45795051255735</v>
      </c>
      <c r="U467" s="384">
        <f>VLOOKUP($A467,'8.Non-elective admissions - CCG'!$D$5:$Q$215,14,0)*$H467</f>
        <v>25.430223571455073</v>
      </c>
    </row>
    <row r="468" spans="1:21">
      <c r="A468" s="395" t="s">
        <v>386</v>
      </c>
      <c r="B468" s="395" t="s">
        <v>385</v>
      </c>
      <c r="C468" s="395" t="s">
        <v>667</v>
      </c>
      <c r="D468" s="395" t="s">
        <v>86</v>
      </c>
      <c r="E468" s="537">
        <f>COUNTIF($D$5:D468,D468)</f>
        <v>7</v>
      </c>
      <c r="F468" s="537" t="str">
        <f t="shared" si="14"/>
        <v>Buckinghamshire7</v>
      </c>
      <c r="G468" s="541" t="str">
        <f t="shared" si="15"/>
        <v>NHS Nene CCG</v>
      </c>
      <c r="H468" s="546">
        <v>1.2396592019191532E-3</v>
      </c>
      <c r="I468" s="546">
        <v>1.5067512601663439E-3</v>
      </c>
      <c r="J468" s="384">
        <f>VLOOKUP($A468,'8.Non-elective admissions - CCG'!$D$5:$N$215,3,0)*$H468</f>
        <v>16.789944230793012</v>
      </c>
      <c r="K468" s="384">
        <f>VLOOKUP($A468,'8.Non-elective admissions - CCG'!$D$5:$N$215,4,0)*$H468</f>
        <v>17.251097453906937</v>
      </c>
      <c r="L468" s="384">
        <f>VLOOKUP($A468,'8.Non-elective admissions - CCG'!$D$5:$N$215,5,0)*$H468</f>
        <v>18.557698252729725</v>
      </c>
      <c r="M468" s="384">
        <f>VLOOKUP($A468,'8.Non-elective admissions - CCG'!$D$5:$N$215,6,0)*$H468</f>
        <v>18.57753279996043</v>
      </c>
      <c r="N468" s="384">
        <f>VLOOKUP($A468,'8.Non-elective admissions - CCG'!$D$5:$N$215,7,0)*$H468</f>
        <v>16.125486898564343</v>
      </c>
      <c r="O468" s="384">
        <f>VLOOKUP($A468,'8.Non-elective admissions - CCG'!$D$5:$N$215,8,0)*$H468</f>
        <v>16.519698524774636</v>
      </c>
      <c r="P468" s="384">
        <f>VLOOKUP($A468,'8.Non-elective admissions - CCG'!$D$5:$N$215,9,0)*$H468</f>
        <v>17.440765311800568</v>
      </c>
      <c r="Q468" s="384">
        <f>VLOOKUP($A468,'8.Non-elective admissions - CCG'!$D$5:$N$215,10,0)*$H468</f>
        <v>16.753994113937356</v>
      </c>
      <c r="R468" s="384">
        <f>VLOOKUP($A468,'8.Non-elective admissions - CCG'!$D$5:$Q$215,11,0)*$H468</f>
        <v>16.387054990169286</v>
      </c>
      <c r="S468" s="384">
        <f>VLOOKUP($A468,'8.Non-elective admissions - CCG'!$D$5:$Q$215,12,0)*$H468</f>
        <v>16.784985593985336</v>
      </c>
      <c r="T468" s="384">
        <f>VLOOKUP($A468,'8.Non-elective admissions - CCG'!$D$5:$Q$215,13,0)*$H468</f>
        <v>17.712250677020862</v>
      </c>
      <c r="U468" s="384">
        <f>VLOOKUP($A468,'8.Non-elective admissions - CCG'!$D$5:$Q$215,14,0)*$H468</f>
        <v>17.024239819955731</v>
      </c>
    </row>
    <row r="469" spans="1:21">
      <c r="A469" s="395" t="s">
        <v>386</v>
      </c>
      <c r="B469" s="395" t="s">
        <v>385</v>
      </c>
      <c r="C469" s="395" t="s">
        <v>730</v>
      </c>
      <c r="D469" s="395" t="s">
        <v>306</v>
      </c>
      <c r="E469" s="537">
        <f>COUNTIF($D$5:D469,D469)</f>
        <v>3</v>
      </c>
      <c r="F469" s="537" t="str">
        <f t="shared" si="14"/>
        <v>Milton Keynes3</v>
      </c>
      <c r="G469" s="541" t="str">
        <f t="shared" si="15"/>
        <v>NHS Nene CCG</v>
      </c>
      <c r="H469" s="546">
        <v>5.8458741915938129E-3</v>
      </c>
      <c r="I469" s="546">
        <v>1.37826481488905E-2</v>
      </c>
      <c r="J469" s="384">
        <f>VLOOKUP($A469,'8.Non-elective admissions - CCG'!$D$5:$N$215,3,0)*$H469</f>
        <v>79.176520050946607</v>
      </c>
      <c r="K469" s="384">
        <f>VLOOKUP($A469,'8.Non-elective admissions - CCG'!$D$5:$N$215,4,0)*$H469</f>
        <v>81.351185250219501</v>
      </c>
      <c r="L469" s="384">
        <f>VLOOKUP($A469,'8.Non-elective admissions - CCG'!$D$5:$N$215,5,0)*$H469</f>
        <v>87.512736648159375</v>
      </c>
      <c r="M469" s="384">
        <f>VLOOKUP($A469,'8.Non-elective admissions - CCG'!$D$5:$N$215,6,0)*$H469</f>
        <v>87.606270635224874</v>
      </c>
      <c r="N469" s="384">
        <f>VLOOKUP($A469,'8.Non-elective admissions - CCG'!$D$5:$N$215,7,0)*$H469</f>
        <v>76.043131484252314</v>
      </c>
      <c r="O469" s="384">
        <f>VLOOKUP($A469,'8.Non-elective admissions - CCG'!$D$5:$N$215,8,0)*$H469</f>
        <v>77.902119477179156</v>
      </c>
      <c r="P469" s="384">
        <f>VLOOKUP($A469,'8.Non-elective admissions - CCG'!$D$5:$N$215,9,0)*$H469</f>
        <v>82.245604001533351</v>
      </c>
      <c r="Q469" s="384">
        <f>VLOOKUP($A469,'8.Non-elective admissions - CCG'!$D$5:$N$215,10,0)*$H469</f>
        <v>79.006989699390388</v>
      </c>
      <c r="R469" s="384">
        <f>VLOOKUP($A469,'8.Non-elective admissions - CCG'!$D$5:$Q$215,11,0)*$H469</f>
        <v>77.276610938678616</v>
      </c>
      <c r="S469" s="384">
        <f>VLOOKUP($A469,'8.Non-elective admissions - CCG'!$D$5:$Q$215,12,0)*$H469</f>
        <v>79.153136554180222</v>
      </c>
      <c r="T469" s="384">
        <f>VLOOKUP($A469,'8.Non-elective admissions - CCG'!$D$5:$Q$215,13,0)*$H469</f>
        <v>83.525850449492395</v>
      </c>
      <c r="U469" s="384">
        <f>VLOOKUP($A469,'8.Non-elective admissions - CCG'!$D$5:$Q$215,14,0)*$H469</f>
        <v>80.281390273157839</v>
      </c>
    </row>
    <row r="470" spans="1:21">
      <c r="A470" s="395" t="s">
        <v>386</v>
      </c>
      <c r="B470" s="395" t="s">
        <v>385</v>
      </c>
      <c r="C470" s="395" t="s">
        <v>739</v>
      </c>
      <c r="D470" s="395" t="s">
        <v>333</v>
      </c>
      <c r="E470" s="537">
        <f>COUNTIF($D$5:D470,D470)</f>
        <v>8</v>
      </c>
      <c r="F470" s="537" t="str">
        <f t="shared" si="14"/>
        <v>Northamptonshire8</v>
      </c>
      <c r="G470" s="541" t="str">
        <f t="shared" si="15"/>
        <v>NHS Nene CCG</v>
      </c>
      <c r="H470" s="546">
        <v>0.98800683821983715</v>
      </c>
      <c r="I470" s="546">
        <v>0.85016705593181574</v>
      </c>
      <c r="J470" s="384">
        <f>VLOOKUP($A470,'8.Non-elective admissions - CCG'!$D$5:$N$215,3,0)*$H470</f>
        <v>13381.564616849475</v>
      </c>
      <c r="K470" s="384">
        <f>VLOOKUP($A470,'8.Non-elective admissions - CCG'!$D$5:$N$215,4,0)*$H470</f>
        <v>13749.103160667253</v>
      </c>
      <c r="L470" s="384">
        <f>VLOOKUP($A470,'8.Non-elective admissions - CCG'!$D$5:$N$215,5,0)*$H470</f>
        <v>14790.462368150962</v>
      </c>
      <c r="M470" s="384">
        <f>VLOOKUP($A470,'8.Non-elective admissions - CCG'!$D$5:$N$215,6,0)*$H470</f>
        <v>14806.270477562479</v>
      </c>
      <c r="N470" s="384">
        <f>VLOOKUP($A470,'8.Non-elective admissions - CCG'!$D$5:$N$215,7,0)*$H470</f>
        <v>12851.992951563641</v>
      </c>
      <c r="O470" s="384">
        <f>VLOOKUP($A470,'8.Non-elective admissions - CCG'!$D$5:$N$215,8,0)*$H470</f>
        <v>13166.179126117549</v>
      </c>
      <c r="P470" s="384">
        <f>VLOOKUP($A470,'8.Non-elective admissions - CCG'!$D$5:$N$215,9,0)*$H470</f>
        <v>13900.268206914889</v>
      </c>
      <c r="Q470" s="384">
        <f>VLOOKUP($A470,'8.Non-elective admissions - CCG'!$D$5:$N$215,10,0)*$H470</f>
        <v>13352.912418541098</v>
      </c>
      <c r="R470" s="384">
        <f>VLOOKUP($A470,'8.Non-elective admissions - CCG'!$D$5:$Q$215,11,0)*$H470</f>
        <v>13060.462394428027</v>
      </c>
      <c r="S470" s="384">
        <f>VLOOKUP($A470,'8.Non-elective admissions - CCG'!$D$5:$Q$215,12,0)*$H470</f>
        <v>13377.612589496595</v>
      </c>
      <c r="T470" s="384">
        <f>VLOOKUP($A470,'8.Non-elective admissions - CCG'!$D$5:$Q$215,13,0)*$H470</f>
        <v>14116.641704485033</v>
      </c>
      <c r="U470" s="384">
        <f>VLOOKUP($A470,'8.Non-elective admissions - CCG'!$D$5:$Q$215,14,0)*$H470</f>
        <v>13568.297909273024</v>
      </c>
    </row>
    <row r="471" spans="1:21">
      <c r="A471" s="395" t="s">
        <v>386</v>
      </c>
      <c r="B471" s="395" t="s">
        <v>385</v>
      </c>
      <c r="C471" s="395" t="s">
        <v>744</v>
      </c>
      <c r="D471" s="395" t="s">
        <v>348</v>
      </c>
      <c r="E471" s="537">
        <f>COUNTIF($D$5:D471,D471)</f>
        <v>3</v>
      </c>
      <c r="F471" s="537" t="str">
        <f t="shared" si="14"/>
        <v>Oxfordshire3</v>
      </c>
      <c r="G471" s="541" t="str">
        <f t="shared" si="15"/>
        <v>NHS Nene CCG</v>
      </c>
      <c r="H471" s="546">
        <v>9.9698277461079043E-4</v>
      </c>
      <c r="I471" s="546">
        <v>9.1164273781154856E-4</v>
      </c>
      <c r="J471" s="384">
        <f>VLOOKUP($A471,'8.Non-elective admissions - CCG'!$D$5:$N$215,3,0)*$H471</f>
        <v>13.503134699328546</v>
      </c>
      <c r="K471" s="384">
        <f>VLOOKUP($A471,'8.Non-elective admissions - CCG'!$D$5:$N$215,4,0)*$H471</f>
        <v>13.87401229148376</v>
      </c>
      <c r="L471" s="384">
        <f>VLOOKUP($A471,'8.Non-elective admissions - CCG'!$D$5:$N$215,5,0)*$H471</f>
        <v>14.924832135923532</v>
      </c>
      <c r="M471" s="384">
        <f>VLOOKUP($A471,'8.Non-elective admissions - CCG'!$D$5:$N$215,6,0)*$H471</f>
        <v>14.940783860317305</v>
      </c>
      <c r="N471" s="384">
        <f>VLOOKUP($A471,'8.Non-elective admissions - CCG'!$D$5:$N$215,7,0)*$H471</f>
        <v>12.968751932137161</v>
      </c>
      <c r="O471" s="384">
        <f>VLOOKUP($A471,'8.Non-elective admissions - CCG'!$D$5:$N$215,8,0)*$H471</f>
        <v>13.285792454463394</v>
      </c>
      <c r="P471" s="384">
        <f>VLOOKUP($A471,'8.Non-elective admissions - CCG'!$D$5:$N$215,9,0)*$H471</f>
        <v>14.026550655999211</v>
      </c>
      <c r="Q471" s="384">
        <f>VLOOKUP($A471,'8.Non-elective admissions - CCG'!$D$5:$N$215,10,0)*$H471</f>
        <v>13.474222198864833</v>
      </c>
      <c r="R471" s="384">
        <f>VLOOKUP($A471,'8.Non-elective admissions - CCG'!$D$5:$Q$215,11,0)*$H471</f>
        <v>13.179115297580038</v>
      </c>
      <c r="S471" s="384">
        <f>VLOOKUP($A471,'8.Non-elective admissions - CCG'!$D$5:$Q$215,12,0)*$H471</f>
        <v>13.499146768230103</v>
      </c>
      <c r="T471" s="384">
        <f>VLOOKUP($A471,'8.Non-elective admissions - CCG'!$D$5:$Q$215,13,0)*$H471</f>
        <v>14.244889883638974</v>
      </c>
      <c r="U471" s="384">
        <f>VLOOKUP($A471,'8.Non-elective admissions - CCG'!$D$5:$Q$215,14,0)*$H471</f>
        <v>13.691564443729986</v>
      </c>
    </row>
    <row r="472" spans="1:21">
      <c r="A472" s="395" t="s">
        <v>386</v>
      </c>
      <c r="B472" s="395" t="s">
        <v>385</v>
      </c>
      <c r="C472" s="395" t="s">
        <v>789</v>
      </c>
      <c r="D472" s="395" t="s">
        <v>483</v>
      </c>
      <c r="E472" s="537">
        <f>COUNTIF($D$5:D472,D472)</f>
        <v>4</v>
      </c>
      <c r="F472" s="537" t="str">
        <f t="shared" si="14"/>
        <v>Warwickshire4</v>
      </c>
      <c r="G472" s="541" t="str">
        <f t="shared" si="15"/>
        <v>NHS Nene CCG</v>
      </c>
      <c r="H472" s="546">
        <v>2.0588853578008878E-3</v>
      </c>
      <c r="I472" s="546">
        <v>2.3183441592347378E-3</v>
      </c>
      <c r="J472" s="384">
        <f>VLOOKUP($A472,'8.Non-elective admissions - CCG'!$D$5:$N$215,3,0)*$H472</f>
        <v>27.885543286055224</v>
      </c>
      <c r="K472" s="384">
        <f>VLOOKUP($A472,'8.Non-elective admissions - CCG'!$D$5:$N$215,4,0)*$H472</f>
        <v>28.651448639157152</v>
      </c>
      <c r="L472" s="384">
        <f>VLOOKUP($A472,'8.Non-elective admissions - CCG'!$D$5:$N$215,5,0)*$H472</f>
        <v>30.821513806279288</v>
      </c>
      <c r="M472" s="384">
        <f>VLOOKUP($A472,'8.Non-elective admissions - CCG'!$D$5:$N$215,6,0)*$H472</f>
        <v>30.854455972004104</v>
      </c>
      <c r="N472" s="384">
        <f>VLOOKUP($A472,'8.Non-elective admissions - CCG'!$D$5:$N$215,7,0)*$H472</f>
        <v>26.781980734273947</v>
      </c>
      <c r="O472" s="384">
        <f>VLOOKUP($A472,'8.Non-elective admissions - CCG'!$D$5:$N$215,8,0)*$H472</f>
        <v>27.436706278054629</v>
      </c>
      <c r="P472" s="384">
        <f>VLOOKUP($A472,'8.Non-elective admissions - CCG'!$D$5:$N$215,9,0)*$H472</f>
        <v>28.966458098900691</v>
      </c>
      <c r="Q472" s="384">
        <f>VLOOKUP($A472,'8.Non-elective admissions - CCG'!$D$5:$N$215,10,0)*$H472</f>
        <v>27.825835610678997</v>
      </c>
      <c r="R472" s="384">
        <f>VLOOKUP($A472,'8.Non-elective admissions - CCG'!$D$5:$Q$215,11,0)*$H472</f>
        <v>27.216405544769934</v>
      </c>
      <c r="S472" s="384">
        <f>VLOOKUP($A472,'8.Non-elective admissions - CCG'!$D$5:$Q$215,12,0)*$H472</f>
        <v>27.877307744624019</v>
      </c>
      <c r="T472" s="384">
        <f>VLOOKUP($A472,'8.Non-elective admissions - CCG'!$D$5:$Q$215,13,0)*$H472</f>
        <v>29.417353992259084</v>
      </c>
      <c r="U472" s="384">
        <f>VLOOKUP($A472,'8.Non-elective admissions - CCG'!$D$5:$Q$215,14,0)*$H472</f>
        <v>28.274672618679592</v>
      </c>
    </row>
    <row r="473" spans="1:21">
      <c r="A473" s="395" t="s">
        <v>389</v>
      </c>
      <c r="B473" s="395" t="s">
        <v>388</v>
      </c>
      <c r="C473" s="395" t="s">
        <v>723</v>
      </c>
      <c r="D473" s="395" t="s">
        <v>285</v>
      </c>
      <c r="E473" s="537">
        <f>COUNTIF($D$5:D473,D473)</f>
        <v>5</v>
      </c>
      <c r="F473" s="537" t="str">
        <f t="shared" si="14"/>
        <v>Lincolnshire5</v>
      </c>
      <c r="G473" s="541" t="str">
        <f t="shared" si="15"/>
        <v>NHS Newark &amp; Sherwood CCG</v>
      </c>
      <c r="H473" s="546">
        <v>2.4054241466985128E-2</v>
      </c>
      <c r="I473" s="546">
        <v>4.1650212920370973E-3</v>
      </c>
      <c r="J473" s="384">
        <f>VLOOKUP($A473,'8.Non-elective admissions - CCG'!$D$5:$N$215,3,0)*$H473</f>
        <v>77.286277833423213</v>
      </c>
      <c r="K473" s="384">
        <f>VLOOKUP($A473,'8.Non-elective admissions - CCG'!$D$5:$N$215,4,0)*$H473</f>
        <v>74.977070652592644</v>
      </c>
      <c r="L473" s="384">
        <f>VLOOKUP($A473,'8.Non-elective admissions - CCG'!$D$5:$N$215,5,0)*$H473</f>
        <v>77.791416904229905</v>
      </c>
      <c r="M473" s="384">
        <f>VLOOKUP($A473,'8.Non-elective admissions - CCG'!$D$5:$N$215,6,0)*$H473</f>
        <v>75.193558825795506</v>
      </c>
      <c r="N473" s="384">
        <f>VLOOKUP($A473,'8.Non-elective admissions - CCG'!$D$5:$N$215,7,0)*$H473</f>
        <v>75.056930734263048</v>
      </c>
      <c r="O473" s="384">
        <f>VLOOKUP($A473,'8.Non-elective admissions - CCG'!$D$5:$N$215,8,0)*$H473</f>
        <v>73.524675552816078</v>
      </c>
      <c r="P473" s="384">
        <f>VLOOKUP($A473,'8.Non-elective admissions - CCG'!$D$5:$N$215,9,0)*$H473</f>
        <v>76.306308036058255</v>
      </c>
      <c r="Q473" s="384">
        <f>VLOOKUP($A473,'8.Non-elective admissions - CCG'!$D$5:$N$215,10,0)*$H473</f>
        <v>73.571821866091369</v>
      </c>
      <c r="R473" s="384">
        <f>VLOOKUP($A473,'8.Non-elective admissions - CCG'!$D$5:$Q$215,11,0)*$H473</f>
        <v>65.731582402342241</v>
      </c>
      <c r="S473" s="384">
        <f>VLOOKUP($A473,'8.Non-elective admissions - CCG'!$D$5:$Q$215,12,0)*$H473</f>
        <v>64.393204407119185</v>
      </c>
      <c r="T473" s="384">
        <f>VLOOKUP($A473,'8.Non-elective admissions - CCG'!$D$5:$Q$215,13,0)*$H473</f>
        <v>66.867183141998609</v>
      </c>
      <c r="U473" s="384">
        <f>VLOOKUP($A473,'8.Non-elective admissions - CCG'!$D$5:$Q$215,14,0)*$H473</f>
        <v>64.445402111102553</v>
      </c>
    </row>
    <row r="474" spans="1:21">
      <c r="A474" s="395" t="s">
        <v>389</v>
      </c>
      <c r="B474" s="395" t="s">
        <v>388</v>
      </c>
      <c r="C474" s="395" t="s">
        <v>742</v>
      </c>
      <c r="D474" s="395" t="s">
        <v>342</v>
      </c>
      <c r="E474" s="537">
        <f>COUNTIF($D$5:D474,D474)</f>
        <v>8</v>
      </c>
      <c r="F474" s="537" t="str">
        <f t="shared" si="14"/>
        <v>Nottinghamshire8</v>
      </c>
      <c r="G474" s="541" t="str">
        <f t="shared" si="15"/>
        <v>NHS Newark &amp; Sherwood CCG</v>
      </c>
      <c r="H474" s="546">
        <v>0.9759457585330148</v>
      </c>
      <c r="I474" s="546">
        <v>0.15475418167868238</v>
      </c>
      <c r="J474" s="384">
        <f>VLOOKUP($A474,'8.Non-elective admissions - CCG'!$D$5:$N$215,3,0)*$H474</f>
        <v>3135.7137221665766</v>
      </c>
      <c r="K474" s="384">
        <f>VLOOKUP($A474,'8.Non-elective admissions - CCG'!$D$5:$N$215,4,0)*$H474</f>
        <v>3042.0229293474072</v>
      </c>
      <c r="L474" s="384">
        <f>VLOOKUP($A474,'8.Non-elective admissions - CCG'!$D$5:$N$215,5,0)*$H474</f>
        <v>3156.2085830957699</v>
      </c>
      <c r="M474" s="384">
        <f>VLOOKUP($A474,'8.Non-elective admissions - CCG'!$D$5:$N$215,6,0)*$H474</f>
        <v>3050.8064411742043</v>
      </c>
      <c r="N474" s="384">
        <f>VLOOKUP($A474,'8.Non-elective admissions - CCG'!$D$5:$N$215,7,0)*$H474</f>
        <v>3045.2630692657372</v>
      </c>
      <c r="O474" s="384">
        <f>VLOOKUP($A474,'8.Non-elective admissions - CCG'!$D$5:$N$215,8,0)*$H474</f>
        <v>2983.0953244471834</v>
      </c>
      <c r="P474" s="384">
        <f>VLOOKUP($A474,'8.Non-elective admissions - CCG'!$D$5:$N$215,9,0)*$H474</f>
        <v>3095.9536919639418</v>
      </c>
      <c r="Q474" s="384">
        <f>VLOOKUP($A474,'8.Non-elective admissions - CCG'!$D$5:$N$215,10,0)*$H474</f>
        <v>2985.0081781339081</v>
      </c>
      <c r="R474" s="384">
        <f>VLOOKUP($A474,'8.Non-elective admissions - CCG'!$D$5:$Q$215,11,0)*$H474</f>
        <v>2666.9084175976573</v>
      </c>
      <c r="S474" s="384">
        <f>VLOOKUP($A474,'8.Non-elective admissions - CCG'!$D$5:$Q$215,12,0)*$H474</f>
        <v>2612.6067955928806</v>
      </c>
      <c r="T474" s="384">
        <f>VLOOKUP($A474,'8.Non-elective admissions - CCG'!$D$5:$Q$215,13,0)*$H474</f>
        <v>2712.9828168580011</v>
      </c>
      <c r="U474" s="384">
        <f>VLOOKUP($A474,'8.Non-elective admissions - CCG'!$D$5:$Q$215,14,0)*$H474</f>
        <v>2614.7245978888973</v>
      </c>
    </row>
    <row r="475" spans="1:21">
      <c r="A475" s="395" t="s">
        <v>392</v>
      </c>
      <c r="B475" s="395" t="s">
        <v>391</v>
      </c>
      <c r="C475" s="395" t="s">
        <v>699</v>
      </c>
      <c r="D475" s="395" t="s">
        <v>205</v>
      </c>
      <c r="E475" s="537">
        <f>COUNTIF($D$5:D475,D475)</f>
        <v>6</v>
      </c>
      <c r="F475" s="537" t="str">
        <f t="shared" si="14"/>
        <v>Hampshire6</v>
      </c>
      <c r="G475" s="541" t="str">
        <f t="shared" si="15"/>
        <v>NHS Newbury and District CCG</v>
      </c>
      <c r="H475" s="546">
        <v>6.0032221657433826E-2</v>
      </c>
      <c r="I475" s="546">
        <v>5.13209170299566E-3</v>
      </c>
      <c r="J475" s="384">
        <f>VLOOKUP($A475,'8.Non-elective admissions - CCG'!$D$5:$N$215,3,0)*$H475</f>
        <v>111.47983561785462</v>
      </c>
      <c r="K475" s="384">
        <f>VLOOKUP($A475,'8.Non-elective admissions - CCG'!$D$5:$N$215,4,0)*$H475</f>
        <v>111.29973895288231</v>
      </c>
      <c r="L475" s="384">
        <f>VLOOKUP($A475,'8.Non-elective admissions - CCG'!$D$5:$N$215,5,0)*$H475</f>
        <v>114.78160780901348</v>
      </c>
      <c r="M475" s="384">
        <f>VLOOKUP($A475,'8.Non-elective admissions - CCG'!$D$5:$N$215,6,0)*$H475</f>
        <v>107.39764454514912</v>
      </c>
      <c r="N475" s="384">
        <f>VLOOKUP($A475,'8.Non-elective admissions - CCG'!$D$5:$N$215,7,0)*$H475</f>
        <v>113.5809633758648</v>
      </c>
      <c r="O475" s="384">
        <f>VLOOKUP($A475,'8.Non-elective admissions - CCG'!$D$5:$N$215,8,0)*$H475</f>
        <v>111.11964228791001</v>
      </c>
      <c r="P475" s="384">
        <f>VLOOKUP($A475,'8.Non-elective admissions - CCG'!$D$5:$N$215,9,0)*$H475</f>
        <v>116.22238112879188</v>
      </c>
      <c r="Q475" s="384">
        <f>VLOOKUP($A475,'8.Non-elective admissions - CCG'!$D$5:$N$215,10,0)*$H475</f>
        <v>109.43874008150186</v>
      </c>
      <c r="R475" s="384">
        <f>VLOOKUP($A475,'8.Non-elective admissions - CCG'!$D$5:$Q$215,11,0)*$H475</f>
        <v>111.47983561785462</v>
      </c>
      <c r="S475" s="384">
        <f>VLOOKUP($A475,'8.Non-elective admissions - CCG'!$D$5:$Q$215,12,0)*$H475</f>
        <v>110.57935229299311</v>
      </c>
      <c r="T475" s="384">
        <f>VLOOKUP($A475,'8.Non-elective admissions - CCG'!$D$5:$Q$215,13,0)*$H475</f>
        <v>115.50199446890268</v>
      </c>
      <c r="U475" s="384">
        <f>VLOOKUP($A475,'8.Non-elective admissions - CCG'!$D$5:$Q$215,14,0)*$H475</f>
        <v>110.09909451973364</v>
      </c>
    </row>
    <row r="476" spans="1:21">
      <c r="A476" s="395" t="s">
        <v>392</v>
      </c>
      <c r="B476" s="395" t="s">
        <v>391</v>
      </c>
      <c r="C476" s="395" t="s">
        <v>744</v>
      </c>
      <c r="D476" s="395" t="s">
        <v>348</v>
      </c>
      <c r="E476" s="537">
        <f>COUNTIF($D$5:D476,D476)</f>
        <v>4</v>
      </c>
      <c r="F476" s="537" t="str">
        <f t="shared" si="14"/>
        <v>Oxfordshire4</v>
      </c>
      <c r="G476" s="541" t="str">
        <f t="shared" si="15"/>
        <v>NHS Newbury and District CCG</v>
      </c>
      <c r="H476" s="546">
        <v>1.1975428832352614E-3</v>
      </c>
      <c r="I476" s="546">
        <v>0</v>
      </c>
      <c r="J476" s="384">
        <f>VLOOKUP($A476,'8.Non-elective admissions - CCG'!$D$5:$N$215,3,0)*$H476</f>
        <v>2.2238371341678804</v>
      </c>
      <c r="K476" s="384">
        <f>VLOOKUP($A476,'8.Non-elective admissions - CCG'!$D$5:$N$215,4,0)*$H476</f>
        <v>2.2202445055181745</v>
      </c>
      <c r="L476" s="384">
        <f>VLOOKUP($A476,'8.Non-elective admissions - CCG'!$D$5:$N$215,5,0)*$H476</f>
        <v>2.2897019927458198</v>
      </c>
      <c r="M476" s="384">
        <f>VLOOKUP($A476,'8.Non-elective admissions - CCG'!$D$5:$N$215,6,0)*$H476</f>
        <v>2.1424042181078828</v>
      </c>
      <c r="N476" s="384">
        <f>VLOOKUP($A476,'8.Non-elective admissions - CCG'!$D$5:$N$215,7,0)*$H476</f>
        <v>2.2657511350811146</v>
      </c>
      <c r="O476" s="384">
        <f>VLOOKUP($A476,'8.Non-elective admissions - CCG'!$D$5:$N$215,8,0)*$H476</f>
        <v>2.2166518768684687</v>
      </c>
      <c r="P476" s="384">
        <f>VLOOKUP($A476,'8.Non-elective admissions - CCG'!$D$5:$N$215,9,0)*$H476</f>
        <v>2.318443021943466</v>
      </c>
      <c r="Q476" s="384">
        <f>VLOOKUP($A476,'8.Non-elective admissions - CCG'!$D$5:$N$215,10,0)*$H476</f>
        <v>2.1831206761378814</v>
      </c>
      <c r="R476" s="384">
        <f>VLOOKUP($A476,'8.Non-elective admissions - CCG'!$D$5:$Q$215,11,0)*$H476</f>
        <v>2.2238371341678804</v>
      </c>
      <c r="S476" s="384">
        <f>VLOOKUP($A476,'8.Non-elective admissions - CCG'!$D$5:$Q$215,12,0)*$H476</f>
        <v>2.2058739909193514</v>
      </c>
      <c r="T476" s="384">
        <f>VLOOKUP($A476,'8.Non-elective admissions - CCG'!$D$5:$Q$215,13,0)*$H476</f>
        <v>2.3040725073446429</v>
      </c>
      <c r="U476" s="384">
        <f>VLOOKUP($A476,'8.Non-elective admissions - CCG'!$D$5:$Q$215,14,0)*$H476</f>
        <v>2.1962936478534694</v>
      </c>
    </row>
    <row r="477" spans="1:21">
      <c r="A477" s="395" t="s">
        <v>392</v>
      </c>
      <c r="B477" s="395" t="s">
        <v>391</v>
      </c>
      <c r="C477" s="395" t="s">
        <v>790</v>
      </c>
      <c r="D477" s="395" t="s">
        <v>486</v>
      </c>
      <c r="E477" s="537">
        <f>COUNTIF($D$5:D477,D477)</f>
        <v>1</v>
      </c>
      <c r="F477" s="537" t="str">
        <f t="shared" si="14"/>
        <v>West Berkshire1</v>
      </c>
      <c r="G477" s="541" t="str">
        <f t="shared" si="15"/>
        <v>NHS Newbury and District CCG</v>
      </c>
      <c r="H477" s="546">
        <v>0.92974127904472281</v>
      </c>
      <c r="I477" s="546">
        <v>0.66090173070563307</v>
      </c>
      <c r="J477" s="384">
        <f>VLOOKUP($A477,'8.Non-elective admissions - CCG'!$D$5:$N$215,3,0)*$H477</f>
        <v>1726.5295551860502</v>
      </c>
      <c r="K477" s="384">
        <f>VLOOKUP($A477,'8.Non-elective admissions - CCG'!$D$5:$N$215,4,0)*$H477</f>
        <v>1723.740331348916</v>
      </c>
      <c r="L477" s="384">
        <f>VLOOKUP($A477,'8.Non-elective admissions - CCG'!$D$5:$N$215,5,0)*$H477</f>
        <v>1777.66532553351</v>
      </c>
      <c r="M477" s="384">
        <f>VLOOKUP($A477,'8.Non-elective admissions - CCG'!$D$5:$N$215,6,0)*$H477</f>
        <v>1663.307148211009</v>
      </c>
      <c r="N477" s="384">
        <f>VLOOKUP($A477,'8.Non-elective admissions - CCG'!$D$5:$N$215,7,0)*$H477</f>
        <v>1759.0704999526156</v>
      </c>
      <c r="O477" s="384">
        <f>VLOOKUP($A477,'8.Non-elective admissions - CCG'!$D$5:$N$215,8,0)*$H477</f>
        <v>1720.9511075117819</v>
      </c>
      <c r="P477" s="384">
        <f>VLOOKUP($A477,'8.Non-elective admissions - CCG'!$D$5:$N$215,9,0)*$H477</f>
        <v>1799.9791162305833</v>
      </c>
      <c r="Q477" s="384">
        <f>VLOOKUP($A477,'8.Non-elective admissions - CCG'!$D$5:$N$215,10,0)*$H477</f>
        <v>1694.9183516985297</v>
      </c>
      <c r="R477" s="384">
        <f>VLOOKUP($A477,'8.Non-elective admissions - CCG'!$D$5:$Q$215,11,0)*$H477</f>
        <v>1726.5295551860502</v>
      </c>
      <c r="S477" s="384">
        <f>VLOOKUP($A477,'8.Non-elective admissions - CCG'!$D$5:$Q$215,12,0)*$H477</f>
        <v>1712.5834360003794</v>
      </c>
      <c r="T477" s="384">
        <f>VLOOKUP($A477,'8.Non-elective admissions - CCG'!$D$5:$Q$215,13,0)*$H477</f>
        <v>1788.8222208820466</v>
      </c>
      <c r="U477" s="384">
        <f>VLOOKUP($A477,'8.Non-elective admissions - CCG'!$D$5:$Q$215,14,0)*$H477</f>
        <v>1705.1455057680216</v>
      </c>
    </row>
    <row r="478" spans="1:21">
      <c r="A478" s="395" t="s">
        <v>392</v>
      </c>
      <c r="B478" s="395" t="s">
        <v>391</v>
      </c>
      <c r="C478" s="395" t="s">
        <v>794</v>
      </c>
      <c r="D478" s="395" t="s">
        <v>498</v>
      </c>
      <c r="E478" s="537">
        <f>COUNTIF($D$5:D478,D478)</f>
        <v>4</v>
      </c>
      <c r="F478" s="537" t="str">
        <f t="shared" si="14"/>
        <v>Wiltshire4</v>
      </c>
      <c r="G478" s="541" t="str">
        <f t="shared" si="15"/>
        <v>NHS Newbury and District CCG</v>
      </c>
      <c r="H478" s="546">
        <v>9.028956414608302E-3</v>
      </c>
      <c r="I478" s="546">
        <v>2.1910018397725372E-3</v>
      </c>
      <c r="J478" s="384">
        <f>VLOOKUP($A478,'8.Non-elective admissions - CCG'!$D$5:$N$215,3,0)*$H478</f>
        <v>16.766772061927618</v>
      </c>
      <c r="K478" s="384">
        <f>VLOOKUP($A478,'8.Non-elective admissions - CCG'!$D$5:$N$215,4,0)*$H478</f>
        <v>16.73968519268379</v>
      </c>
      <c r="L478" s="384">
        <f>VLOOKUP($A478,'8.Non-elective admissions - CCG'!$D$5:$N$215,5,0)*$H478</f>
        <v>17.263364664731075</v>
      </c>
      <c r="M478" s="384">
        <f>VLOOKUP($A478,'8.Non-elective admissions - CCG'!$D$5:$N$215,6,0)*$H478</f>
        <v>16.152803025734251</v>
      </c>
      <c r="N478" s="384">
        <f>VLOOKUP($A478,'8.Non-elective admissions - CCG'!$D$5:$N$215,7,0)*$H478</f>
        <v>17.082785536438909</v>
      </c>
      <c r="O478" s="384">
        <f>VLOOKUP($A478,'8.Non-elective admissions - CCG'!$D$5:$N$215,8,0)*$H478</f>
        <v>16.712598323439966</v>
      </c>
      <c r="P478" s="384">
        <f>VLOOKUP($A478,'8.Non-elective admissions - CCG'!$D$5:$N$215,9,0)*$H478</f>
        <v>17.480059618681672</v>
      </c>
      <c r="Q478" s="384">
        <f>VLOOKUP($A478,'8.Non-elective admissions - CCG'!$D$5:$N$215,10,0)*$H478</f>
        <v>16.459787543830934</v>
      </c>
      <c r="R478" s="384">
        <f>VLOOKUP($A478,'8.Non-elective admissions - CCG'!$D$5:$Q$215,11,0)*$H478</f>
        <v>16.766772061927618</v>
      </c>
      <c r="S478" s="384">
        <f>VLOOKUP($A478,'8.Non-elective admissions - CCG'!$D$5:$Q$215,12,0)*$H478</f>
        <v>16.631337715708494</v>
      </c>
      <c r="T478" s="384">
        <f>VLOOKUP($A478,'8.Non-elective admissions - CCG'!$D$5:$Q$215,13,0)*$H478</f>
        <v>17.371712141706372</v>
      </c>
      <c r="U478" s="384">
        <f>VLOOKUP($A478,'8.Non-elective admissions - CCG'!$D$5:$Q$215,14,0)*$H478</f>
        <v>16.559106064391624</v>
      </c>
    </row>
    <row r="479" spans="1:21">
      <c r="A479" s="395" t="s">
        <v>395</v>
      </c>
      <c r="B479" s="395" t="s">
        <v>394</v>
      </c>
      <c r="C479" s="395" t="s">
        <v>731</v>
      </c>
      <c r="D479" s="395" t="s">
        <v>309</v>
      </c>
      <c r="E479" s="537">
        <f>COUNTIF($D$5:D479,D479)</f>
        <v>1</v>
      </c>
      <c r="F479" s="537" t="str">
        <f t="shared" si="14"/>
        <v>Newcastle upon Tyne1</v>
      </c>
      <c r="G479" s="541" t="str">
        <f t="shared" si="15"/>
        <v>NHS Newcastle North and East CCG</v>
      </c>
      <c r="H479" s="546">
        <v>0.97607736151776392</v>
      </c>
      <c r="I479" s="546">
        <v>0.51307706443694778</v>
      </c>
      <c r="J479" s="384">
        <f>VLOOKUP($A479,'8.Non-elective admissions - CCG'!$D$5:$N$215,3,0)*$H479</f>
        <v>3753.0174550358024</v>
      </c>
      <c r="K479" s="384">
        <f>VLOOKUP($A479,'8.Non-elective admissions - CCG'!$D$5:$N$215,4,0)*$H479</f>
        <v>3624.1752433154575</v>
      </c>
      <c r="L479" s="384">
        <f>VLOOKUP($A479,'8.Non-elective admissions - CCG'!$D$5:$N$215,5,0)*$H479</f>
        <v>3822.3189477035635</v>
      </c>
      <c r="M479" s="384">
        <f>VLOOKUP($A479,'8.Non-elective admissions - CCG'!$D$5:$N$215,6,0)*$H479</f>
        <v>3785.2280079658885</v>
      </c>
      <c r="N479" s="384">
        <f>VLOOKUP($A479,'8.Non-elective admissions - CCG'!$D$5:$N$215,7,0)*$H479</f>
        <v>3535.3522034173411</v>
      </c>
      <c r="O479" s="384">
        <f>VLOOKUP($A479,'8.Non-elective admissions - CCG'!$D$5:$N$215,8,0)*$H479</f>
        <v>3491.4287221490417</v>
      </c>
      <c r="P479" s="384">
        <f>VLOOKUP($A479,'8.Non-elective admissions - CCG'!$D$5:$N$215,9,0)*$H479</f>
        <v>3622.2230885924218</v>
      </c>
      <c r="Q479" s="384">
        <f>VLOOKUP($A479,'8.Non-elective admissions - CCG'!$D$5:$N$215,10,0)*$H479</f>
        <v>3867.2185063333804</v>
      </c>
      <c r="R479" s="384">
        <f>VLOOKUP($A479,'8.Non-elective admissions - CCG'!$D$5:$Q$215,11,0)*$H479</f>
        <v>3463.1224786650264</v>
      </c>
      <c r="S479" s="384">
        <f>VLOOKUP($A479,'8.Non-elective admissions - CCG'!$D$5:$Q$215,12,0)*$H479</f>
        <v>3420.1750747582446</v>
      </c>
      <c r="T479" s="384">
        <f>VLOOKUP($A479,'8.Non-elective admissions - CCG'!$D$5:$Q$215,13,0)*$H479</f>
        <v>3547.0651317555539</v>
      </c>
      <c r="U479" s="384">
        <f>VLOOKUP($A479,'8.Non-elective admissions - CCG'!$D$5:$Q$215,14,0)*$H479</f>
        <v>3790.1083947734774</v>
      </c>
    </row>
    <row r="480" spans="1:21">
      <c r="A480" s="395" t="s">
        <v>395</v>
      </c>
      <c r="B480" s="395" t="s">
        <v>394</v>
      </c>
      <c r="C480" s="395" t="s">
        <v>737</v>
      </c>
      <c r="D480" s="395" t="s">
        <v>327</v>
      </c>
      <c r="E480" s="537">
        <f>COUNTIF($D$5:D480,D480)</f>
        <v>1</v>
      </c>
      <c r="F480" s="537" t="str">
        <f t="shared" si="14"/>
        <v>North Tyneside1</v>
      </c>
      <c r="G480" s="541" t="str">
        <f t="shared" si="15"/>
        <v>NHS Newcastle North and East CCG</v>
      </c>
      <c r="H480" s="546">
        <v>2.3922638482235938E-2</v>
      </c>
      <c r="I480" s="546">
        <v>1.8395660313955162E-2</v>
      </c>
      <c r="J480" s="384">
        <f>VLOOKUP($A480,'8.Non-elective admissions - CCG'!$D$5:$N$215,3,0)*$H480</f>
        <v>91.982544964197189</v>
      </c>
      <c r="K480" s="384">
        <f>VLOOKUP($A480,'8.Non-elective admissions - CCG'!$D$5:$N$215,4,0)*$H480</f>
        <v>88.824756684542038</v>
      </c>
      <c r="L480" s="384">
        <f>VLOOKUP($A480,'8.Non-elective admissions - CCG'!$D$5:$N$215,5,0)*$H480</f>
        <v>93.681052296435936</v>
      </c>
      <c r="M480" s="384">
        <f>VLOOKUP($A480,'8.Non-elective admissions - CCG'!$D$5:$N$215,6,0)*$H480</f>
        <v>92.771992034110966</v>
      </c>
      <c r="N480" s="384">
        <f>VLOOKUP($A480,'8.Non-elective admissions - CCG'!$D$5:$N$215,7,0)*$H480</f>
        <v>86.647796582658572</v>
      </c>
      <c r="O480" s="384">
        <f>VLOOKUP($A480,'8.Non-elective admissions - CCG'!$D$5:$N$215,8,0)*$H480</f>
        <v>85.571277850957955</v>
      </c>
      <c r="P480" s="384">
        <f>VLOOKUP($A480,'8.Non-elective admissions - CCG'!$D$5:$N$215,9,0)*$H480</f>
        <v>88.776911407577572</v>
      </c>
      <c r="Q480" s="384">
        <f>VLOOKUP($A480,'8.Non-elective admissions - CCG'!$D$5:$N$215,10,0)*$H480</f>
        <v>94.781493666618786</v>
      </c>
      <c r="R480" s="384">
        <f>VLOOKUP($A480,'8.Non-elective admissions - CCG'!$D$5:$Q$215,11,0)*$H480</f>
        <v>84.87752133497311</v>
      </c>
      <c r="S480" s="384">
        <f>VLOOKUP($A480,'8.Non-elective admissions - CCG'!$D$5:$Q$215,12,0)*$H480</f>
        <v>83.824925241754727</v>
      </c>
      <c r="T480" s="384">
        <f>VLOOKUP($A480,'8.Non-elective admissions - CCG'!$D$5:$Q$215,13,0)*$H480</f>
        <v>86.934868244445397</v>
      </c>
      <c r="U480" s="384">
        <f>VLOOKUP($A480,'8.Non-elective admissions - CCG'!$D$5:$Q$215,14,0)*$H480</f>
        <v>92.891605226522145</v>
      </c>
    </row>
    <row r="481" spans="1:21">
      <c r="A481" s="395" t="s">
        <v>398</v>
      </c>
      <c r="B481" s="395" t="s">
        <v>397</v>
      </c>
      <c r="C481" s="395" t="s">
        <v>731</v>
      </c>
      <c r="D481" s="395" t="s">
        <v>309</v>
      </c>
      <c r="E481" s="537">
        <f>COUNTIF($D$5:D481,D481)</f>
        <v>2</v>
      </c>
      <c r="F481" s="537" t="str">
        <f t="shared" si="14"/>
        <v>Newcastle upon Tyne2</v>
      </c>
      <c r="G481" s="541" t="str">
        <f t="shared" si="15"/>
        <v>NHS Newcastle West CCG</v>
      </c>
      <c r="H481" s="546">
        <v>0.98458742814759859</v>
      </c>
      <c r="I481" s="546">
        <v>0.43561883884856195</v>
      </c>
      <c r="J481" s="384">
        <f>VLOOKUP($A481,'8.Non-elective admissions - CCG'!$D$5:$N$215,3,0)*$H481</f>
        <v>4327.2617467086957</v>
      </c>
      <c r="K481" s="384">
        <f>VLOOKUP($A481,'8.Non-elective admissions - CCG'!$D$5:$N$215,4,0)*$H481</f>
        <v>4433.5971889486364</v>
      </c>
      <c r="L481" s="384">
        <f>VLOOKUP($A481,'8.Non-elective admissions - CCG'!$D$5:$N$215,5,0)*$H481</f>
        <v>4686.6361579825689</v>
      </c>
      <c r="M481" s="384">
        <f>VLOOKUP($A481,'8.Non-elective admissions - CCG'!$D$5:$N$215,6,0)*$H481</f>
        <v>4618.6996254403848</v>
      </c>
      <c r="N481" s="384">
        <f>VLOOKUP($A481,'8.Non-elective admissions - CCG'!$D$5:$N$215,7,0)*$H481</f>
        <v>4243.5718153161497</v>
      </c>
      <c r="O481" s="384">
        <f>VLOOKUP($A481,'8.Non-elective admissions - CCG'!$D$5:$N$215,8,0)*$H481</f>
        <v>4190.4040941961794</v>
      </c>
      <c r="P481" s="384">
        <f>VLOOKUP($A481,'8.Non-elective admissions - CCG'!$D$5:$N$215,9,0)*$H481</f>
        <v>4346.9534952716476</v>
      </c>
      <c r="Q481" s="384">
        <f>VLOOKUP($A481,'8.Non-elective admissions - CCG'!$D$5:$N$215,10,0)*$H481</f>
        <v>4636.4221991470422</v>
      </c>
      <c r="R481" s="384">
        <f>VLOOKUP($A481,'8.Non-elective admissions - CCG'!$D$5:$Q$215,11,0)*$H481</f>
        <v>4157.9127090673092</v>
      </c>
      <c r="S481" s="384">
        <f>VLOOKUP($A481,'8.Non-elective admissions - CCG'!$D$5:$Q$215,12,0)*$H481</f>
        <v>4105.7295753754861</v>
      </c>
      <c r="T481" s="384">
        <f>VLOOKUP($A481,'8.Non-elective admissions - CCG'!$D$5:$Q$215,13,0)*$H481</f>
        <v>4257.3560393102161</v>
      </c>
      <c r="U481" s="384">
        <f>VLOOKUP($A481,'8.Non-elective admissions - CCG'!$D$5:$Q$215,14,0)*$H481</f>
        <v>4541.9018060448725</v>
      </c>
    </row>
    <row r="482" spans="1:21">
      <c r="A482" s="395" t="s">
        <v>398</v>
      </c>
      <c r="B482" s="395" t="s">
        <v>397</v>
      </c>
      <c r="C482" s="395" t="s">
        <v>737</v>
      </c>
      <c r="D482" s="395" t="s">
        <v>327</v>
      </c>
      <c r="E482" s="537">
        <f>COUNTIF($D$5:D482,D482)</f>
        <v>2</v>
      </c>
      <c r="F482" s="537" t="str">
        <f t="shared" si="14"/>
        <v>North Tyneside2</v>
      </c>
      <c r="G482" s="541" t="str">
        <f t="shared" si="15"/>
        <v>NHS Newcastle West CCG</v>
      </c>
      <c r="H482" s="546">
        <v>7.7878731689226769E-3</v>
      </c>
      <c r="I482" s="546">
        <v>5.0405645432288412E-3</v>
      </c>
      <c r="J482" s="384">
        <f>VLOOKUP($A482,'8.Non-elective admissions - CCG'!$D$5:$N$215,3,0)*$H482</f>
        <v>34.227702577415165</v>
      </c>
      <c r="K482" s="384">
        <f>VLOOKUP($A482,'8.Non-elective admissions - CCG'!$D$5:$N$215,4,0)*$H482</f>
        <v>35.068792879658815</v>
      </c>
      <c r="L482" s="384">
        <f>VLOOKUP($A482,'8.Non-elective admissions - CCG'!$D$5:$N$215,5,0)*$H482</f>
        <v>37.070276284071944</v>
      </c>
      <c r="M482" s="384">
        <f>VLOOKUP($A482,'8.Non-elective admissions - CCG'!$D$5:$N$215,6,0)*$H482</f>
        <v>36.532913035416279</v>
      </c>
      <c r="N482" s="384">
        <f>VLOOKUP($A482,'8.Non-elective admissions - CCG'!$D$5:$N$215,7,0)*$H482</f>
        <v>33.56573335805674</v>
      </c>
      <c r="O482" s="384">
        <f>VLOOKUP($A482,'8.Non-elective admissions - CCG'!$D$5:$N$215,8,0)*$H482</f>
        <v>33.145188206934911</v>
      </c>
      <c r="P482" s="384">
        <f>VLOOKUP($A482,'8.Non-elective admissions - CCG'!$D$5:$N$215,9,0)*$H482</f>
        <v>34.383460040793615</v>
      </c>
      <c r="Q482" s="384">
        <f>VLOOKUP($A482,'8.Non-elective admissions - CCG'!$D$5:$N$215,10,0)*$H482</f>
        <v>36.673094752456883</v>
      </c>
      <c r="R482" s="384">
        <f>VLOOKUP($A482,'8.Non-elective admissions - CCG'!$D$5:$Q$215,11,0)*$H482</f>
        <v>32.888188392360462</v>
      </c>
      <c r="S482" s="384">
        <f>VLOOKUP($A482,'8.Non-elective admissions - CCG'!$D$5:$Q$215,12,0)*$H482</f>
        <v>32.475431114407563</v>
      </c>
      <c r="T482" s="384">
        <f>VLOOKUP($A482,'8.Non-elective admissions - CCG'!$D$5:$Q$215,13,0)*$H482</f>
        <v>33.674763582421654</v>
      </c>
      <c r="U482" s="384">
        <f>VLOOKUP($A482,'8.Non-elective admissions - CCG'!$D$5:$Q$215,14,0)*$H482</f>
        <v>35.92545892824031</v>
      </c>
    </row>
    <row r="483" spans="1:21">
      <c r="A483" s="395" t="s">
        <v>398</v>
      </c>
      <c r="B483" s="395" t="s">
        <v>397</v>
      </c>
      <c r="C483" s="395" t="s">
        <v>740</v>
      </c>
      <c r="D483" s="395" t="s">
        <v>336</v>
      </c>
      <c r="E483" s="537">
        <f>COUNTIF($D$5:D483,D483)</f>
        <v>2</v>
      </c>
      <c r="F483" s="537" t="str">
        <f t="shared" si="14"/>
        <v>Northumberland2</v>
      </c>
      <c r="G483" s="541" t="str">
        <f t="shared" si="15"/>
        <v>NHS Newcastle West CCG</v>
      </c>
      <c r="H483" s="546">
        <v>7.6246986834785828E-3</v>
      </c>
      <c r="I483" s="546">
        <v>3.2260291597888645E-3</v>
      </c>
      <c r="J483" s="384">
        <f>VLOOKUP($A483,'8.Non-elective admissions - CCG'!$D$5:$N$215,3,0)*$H483</f>
        <v>33.510550713888371</v>
      </c>
      <c r="K483" s="384">
        <f>VLOOKUP($A483,'8.Non-elective admissions - CCG'!$D$5:$N$215,4,0)*$H483</f>
        <v>34.334018171704059</v>
      </c>
      <c r="L483" s="384">
        <f>VLOOKUP($A483,'8.Non-elective admissions - CCG'!$D$5:$N$215,5,0)*$H483</f>
        <v>36.293565733358051</v>
      </c>
      <c r="M483" s="384">
        <f>VLOOKUP($A483,'8.Non-elective admissions - CCG'!$D$5:$N$215,6,0)*$H483</f>
        <v>35.767461524198033</v>
      </c>
      <c r="N483" s="384">
        <f>VLOOKUP($A483,'8.Non-elective admissions - CCG'!$D$5:$N$215,7,0)*$H483</f>
        <v>32.862451325792691</v>
      </c>
      <c r="O483" s="384">
        <f>VLOOKUP($A483,'8.Non-elective admissions - CCG'!$D$5:$N$215,8,0)*$H483</f>
        <v>32.45071759688485</v>
      </c>
      <c r="P483" s="384">
        <f>VLOOKUP($A483,'8.Non-elective admissions - CCG'!$D$5:$N$215,9,0)*$H483</f>
        <v>33.663044687557942</v>
      </c>
      <c r="Q483" s="384">
        <f>VLOOKUP($A483,'8.Non-elective admissions - CCG'!$D$5:$N$215,10,0)*$H483</f>
        <v>35.904706100500647</v>
      </c>
      <c r="R483" s="384">
        <f>VLOOKUP($A483,'8.Non-elective admissions - CCG'!$D$5:$Q$215,11,0)*$H483</f>
        <v>32.199102540330053</v>
      </c>
      <c r="S483" s="384">
        <f>VLOOKUP($A483,'8.Non-elective admissions - CCG'!$D$5:$Q$215,12,0)*$H483</f>
        <v>31.794993510105691</v>
      </c>
      <c r="T483" s="384">
        <f>VLOOKUP($A483,'8.Non-elective admissions - CCG'!$D$5:$Q$215,13,0)*$H483</f>
        <v>32.969197107361396</v>
      </c>
      <c r="U483" s="384">
        <f>VLOOKUP($A483,'8.Non-elective admissions - CCG'!$D$5:$Q$215,14,0)*$H483</f>
        <v>35.172735026886706</v>
      </c>
    </row>
    <row r="484" spans="1:21">
      <c r="A484" s="395" t="s">
        <v>401</v>
      </c>
      <c r="B484" s="395" t="s">
        <v>400</v>
      </c>
      <c r="C484" s="395" t="s">
        <v>650</v>
      </c>
      <c r="D484" s="395" t="s">
        <v>9</v>
      </c>
      <c r="E484" s="537">
        <f>COUNTIF($D$5:D484,D484)</f>
        <v>3</v>
      </c>
      <c r="F484" s="537" t="str">
        <f t="shared" si="14"/>
        <v>Barking and Dagenham3</v>
      </c>
      <c r="G484" s="541" t="str">
        <f t="shared" si="15"/>
        <v>NHS Newham CCG</v>
      </c>
      <c r="H484" s="546">
        <v>1.655447928637881E-3</v>
      </c>
      <c r="I484" s="546">
        <v>2.9075914569676466E-3</v>
      </c>
      <c r="J484" s="384">
        <f>VLOOKUP($A484,'8.Non-elective admissions - CCG'!$D$5:$N$215,3,0)*$H484</f>
        <v>12.318188036994473</v>
      </c>
      <c r="K484" s="384">
        <f>VLOOKUP($A484,'8.Non-elective admissions - CCG'!$D$5:$N$215,4,0)*$H484</f>
        <v>12.624445903792481</v>
      </c>
      <c r="L484" s="384">
        <f>VLOOKUP($A484,'8.Non-elective admissions - CCG'!$D$5:$N$215,5,0)*$H484</f>
        <v>13.394229190609096</v>
      </c>
      <c r="M484" s="384">
        <f>VLOOKUP($A484,'8.Non-elective admissions - CCG'!$D$5:$N$215,6,0)*$H484</f>
        <v>12.986989000164176</v>
      </c>
      <c r="N484" s="384">
        <f>VLOOKUP($A484,'8.Non-elective admissions - CCG'!$D$5:$N$215,7,0)*$H484</f>
        <v>12.290045422207628</v>
      </c>
      <c r="O484" s="384">
        <f>VLOOKUP($A484,'8.Non-elective admissions - CCG'!$D$5:$N$215,8,0)*$H484</f>
        <v>12.51518634050238</v>
      </c>
      <c r="P484" s="384">
        <f>VLOOKUP($A484,'8.Non-elective admissions - CCG'!$D$5:$N$215,9,0)*$H484</f>
        <v>13.190609095386636</v>
      </c>
      <c r="Q484" s="384">
        <f>VLOOKUP($A484,'8.Non-elective admissions - CCG'!$D$5:$N$215,10,0)*$H484</f>
        <v>12.692319268866633</v>
      </c>
      <c r="R484" s="384">
        <f>VLOOKUP($A484,'8.Non-elective admissions - CCG'!$D$5:$Q$215,11,0)*$H484</f>
        <v>12.165886827559788</v>
      </c>
      <c r="S484" s="384">
        <f>VLOOKUP($A484,'8.Non-elective admissions - CCG'!$D$5:$Q$215,12,0)*$H484</f>
        <v>12.389372297925901</v>
      </c>
      <c r="T484" s="384">
        <f>VLOOKUP($A484,'8.Non-elective admissions - CCG'!$D$5:$Q$215,13,0)*$H484</f>
        <v>13.066450500738794</v>
      </c>
      <c r="U484" s="384">
        <f>VLOOKUP($A484,'8.Non-elective admissions - CCG'!$D$5:$Q$215,14,0)*$H484</f>
        <v>12.564849778361516</v>
      </c>
    </row>
    <row r="485" spans="1:21">
      <c r="A485" s="395" t="s">
        <v>401</v>
      </c>
      <c r="B485" s="395" t="s">
        <v>400</v>
      </c>
      <c r="C485" s="395" t="s">
        <v>732</v>
      </c>
      <c r="D485" s="395" t="s">
        <v>312</v>
      </c>
      <c r="E485" s="537">
        <f>COUNTIF($D$5:D485,D485)</f>
        <v>2</v>
      </c>
      <c r="F485" s="537" t="str">
        <f t="shared" si="14"/>
        <v>Newham2</v>
      </c>
      <c r="G485" s="541" t="str">
        <f t="shared" si="15"/>
        <v>NHS Newham CCG</v>
      </c>
      <c r="H485" s="546">
        <v>0.97076834674109347</v>
      </c>
      <c r="I485" s="546">
        <v>0.97980336380457878</v>
      </c>
      <c r="J485" s="384">
        <f>VLOOKUP($A485,'8.Non-elective admissions - CCG'!$D$5:$N$215,3,0)*$H485</f>
        <v>7223.4872681004763</v>
      </c>
      <c r="K485" s="384">
        <f>VLOOKUP($A485,'8.Non-elective admissions - CCG'!$D$5:$N$215,4,0)*$H485</f>
        <v>7403.0794122475791</v>
      </c>
      <c r="L485" s="384">
        <f>VLOOKUP($A485,'8.Non-elective admissions - CCG'!$D$5:$N$215,5,0)*$H485</f>
        <v>7854.4866934821875</v>
      </c>
      <c r="M485" s="384">
        <f>VLOOKUP($A485,'8.Non-elective admissions - CCG'!$D$5:$N$215,6,0)*$H485</f>
        <v>7615.6776801838787</v>
      </c>
      <c r="N485" s="384">
        <f>VLOOKUP($A485,'8.Non-elective admissions - CCG'!$D$5:$N$215,7,0)*$H485</f>
        <v>7206.9842062058779</v>
      </c>
      <c r="O485" s="384">
        <f>VLOOKUP($A485,'8.Non-elective admissions - CCG'!$D$5:$N$215,8,0)*$H485</f>
        <v>7339.0087013626662</v>
      </c>
      <c r="P485" s="384">
        <f>VLOOKUP($A485,'8.Non-elective admissions - CCG'!$D$5:$N$215,9,0)*$H485</f>
        <v>7735.0821868330331</v>
      </c>
      <c r="Q485" s="384">
        <f>VLOOKUP($A485,'8.Non-elective admissions - CCG'!$D$5:$N$215,10,0)*$H485</f>
        <v>7442.8809144639636</v>
      </c>
      <c r="R485" s="384">
        <f>VLOOKUP($A485,'8.Non-elective admissions - CCG'!$D$5:$Q$215,11,0)*$H485</f>
        <v>7134.1765802002956</v>
      </c>
      <c r="S485" s="384">
        <f>VLOOKUP($A485,'8.Non-elective admissions - CCG'!$D$5:$Q$215,12,0)*$H485</f>
        <v>7265.2303070103435</v>
      </c>
      <c r="T485" s="384">
        <f>VLOOKUP($A485,'8.Non-elective admissions - CCG'!$D$5:$Q$215,13,0)*$H485</f>
        <v>7662.2745608274508</v>
      </c>
      <c r="U485" s="384">
        <f>VLOOKUP($A485,'8.Non-elective admissions - CCG'!$D$5:$Q$215,14,0)*$H485</f>
        <v>7368.1317517648995</v>
      </c>
    </row>
    <row r="486" spans="1:21">
      <c r="A486" s="395" t="s">
        <v>401</v>
      </c>
      <c r="B486" s="395" t="s">
        <v>400</v>
      </c>
      <c r="C486" s="395" t="s">
        <v>749</v>
      </c>
      <c r="D486" s="395" t="s">
        <v>363</v>
      </c>
      <c r="E486" s="537">
        <f>COUNTIF($D$5:D486,D486)</f>
        <v>3</v>
      </c>
      <c r="F486" s="537" t="str">
        <f t="shared" si="14"/>
        <v>Redbridge3</v>
      </c>
      <c r="G486" s="541" t="str">
        <f t="shared" si="15"/>
        <v>NHS Newham CCG</v>
      </c>
      <c r="H486" s="546">
        <v>1.5728123460843867E-2</v>
      </c>
      <c r="I486" s="546">
        <v>1.8730021147849208E-2</v>
      </c>
      <c r="J486" s="384">
        <f>VLOOKUP($A486,'8.Non-elective admissions - CCG'!$D$5:$N$215,3,0)*$H486</f>
        <v>117.03296667213921</v>
      </c>
      <c r="K486" s="384">
        <f>VLOOKUP($A486,'8.Non-elective admissions - CCG'!$D$5:$N$215,4,0)*$H486</f>
        <v>119.94266951239533</v>
      </c>
      <c r="L486" s="384">
        <f>VLOOKUP($A486,'8.Non-elective admissions - CCG'!$D$5:$N$215,5,0)*$H486</f>
        <v>127.25624692168772</v>
      </c>
      <c r="M486" s="384">
        <f>VLOOKUP($A486,'8.Non-elective admissions - CCG'!$D$5:$N$215,6,0)*$H486</f>
        <v>123.38712855032013</v>
      </c>
      <c r="N486" s="384">
        <f>VLOOKUP($A486,'8.Non-elective admissions - CCG'!$D$5:$N$215,7,0)*$H486</f>
        <v>116.76558857330487</v>
      </c>
      <c r="O486" s="384">
        <f>VLOOKUP($A486,'8.Non-elective admissions - CCG'!$D$5:$N$215,8,0)*$H486</f>
        <v>118.90461336397964</v>
      </c>
      <c r="P486" s="384">
        <f>VLOOKUP($A486,'8.Non-elective admissions - CCG'!$D$5:$N$215,9,0)*$H486</f>
        <v>125.32168773600392</v>
      </c>
      <c r="Q486" s="384">
        <f>VLOOKUP($A486,'8.Non-elective admissions - CCG'!$D$5:$N$215,10,0)*$H486</f>
        <v>120.58752257428992</v>
      </c>
      <c r="R486" s="384">
        <f>VLOOKUP($A486,'8.Non-elective admissions - CCG'!$D$5:$Q$215,11,0)*$H486</f>
        <v>115.58597931374157</v>
      </c>
      <c r="S486" s="384">
        <f>VLOOKUP($A486,'8.Non-elective admissions - CCG'!$D$5:$Q$215,12,0)*$H486</f>
        <v>117.7092759809555</v>
      </c>
      <c r="T486" s="384">
        <f>VLOOKUP($A486,'8.Non-elective admissions - CCG'!$D$5:$Q$215,13,0)*$H486</f>
        <v>124.14207847644064</v>
      </c>
      <c r="U486" s="384">
        <f>VLOOKUP($A486,'8.Non-elective admissions - CCG'!$D$5:$Q$215,14,0)*$H486</f>
        <v>119.37645706780495</v>
      </c>
    </row>
    <row r="487" spans="1:21">
      <c r="A487" s="395" t="s">
        <v>401</v>
      </c>
      <c r="B487" s="395" t="s">
        <v>400</v>
      </c>
      <c r="C487" s="395" t="s">
        <v>782</v>
      </c>
      <c r="D487" s="395" t="s">
        <v>462</v>
      </c>
      <c r="E487" s="537">
        <f>COUNTIF($D$5:D487,D487)</f>
        <v>4</v>
      </c>
      <c r="F487" s="537" t="str">
        <f t="shared" si="14"/>
        <v>Tower Hamlets4</v>
      </c>
      <c r="G487" s="541" t="str">
        <f t="shared" si="15"/>
        <v>NHS Newham CCG</v>
      </c>
      <c r="H487" s="546">
        <v>2.1096700049252999E-3</v>
      </c>
      <c r="I487" s="546">
        <v>2.6578416670975744E-3</v>
      </c>
      <c r="J487" s="384">
        <f>VLOOKUP($A487,'8.Non-elective admissions - CCG'!$D$5:$N$215,3,0)*$H487</f>
        <v>15.698054506649155</v>
      </c>
      <c r="K487" s="384">
        <f>VLOOKUP($A487,'8.Non-elective admissions - CCG'!$D$5:$N$215,4,0)*$H487</f>
        <v>16.088343457560338</v>
      </c>
      <c r="L487" s="384">
        <f>VLOOKUP($A487,'8.Non-elective admissions - CCG'!$D$5:$N$215,5,0)*$H487</f>
        <v>17.069340009850603</v>
      </c>
      <c r="M487" s="384">
        <f>VLOOKUP($A487,'8.Non-elective admissions - CCG'!$D$5:$N$215,6,0)*$H487</f>
        <v>16.550361188638977</v>
      </c>
      <c r="N487" s="384">
        <f>VLOOKUP($A487,'8.Non-elective admissions - CCG'!$D$5:$N$215,7,0)*$H487</f>
        <v>15.662190116565426</v>
      </c>
      <c r="O487" s="384">
        <f>VLOOKUP($A487,'8.Non-elective admissions - CCG'!$D$5:$N$215,8,0)*$H487</f>
        <v>15.949105237235267</v>
      </c>
      <c r="P487" s="384">
        <f>VLOOKUP($A487,'8.Non-elective admissions - CCG'!$D$5:$N$215,9,0)*$H487</f>
        <v>16.80985059924479</v>
      </c>
      <c r="Q487" s="384">
        <f>VLOOKUP($A487,'8.Non-elective admissions - CCG'!$D$5:$N$215,10,0)*$H487</f>
        <v>16.174839927762275</v>
      </c>
      <c r="R487" s="384">
        <f>VLOOKUP($A487,'8.Non-elective admissions - CCG'!$D$5:$Q$215,11,0)*$H487</f>
        <v>15.503964866196029</v>
      </c>
      <c r="S487" s="384">
        <f>VLOOKUP($A487,'8.Non-elective admissions - CCG'!$D$5:$Q$215,12,0)*$H487</f>
        <v>15.788770316860944</v>
      </c>
      <c r="T487" s="384">
        <f>VLOOKUP($A487,'8.Non-elective admissions - CCG'!$D$5:$Q$215,13,0)*$H487</f>
        <v>16.651625348875392</v>
      </c>
      <c r="U487" s="384">
        <f>VLOOKUP($A487,'8.Non-elective admissions - CCG'!$D$5:$Q$215,14,0)*$H487</f>
        <v>16.012395337383026</v>
      </c>
    </row>
    <row r="488" spans="1:21">
      <c r="A488" s="395" t="s">
        <v>401</v>
      </c>
      <c r="B488" s="395" t="s">
        <v>400</v>
      </c>
      <c r="C488" s="395" t="s">
        <v>786</v>
      </c>
      <c r="D488" s="395" t="s">
        <v>474</v>
      </c>
      <c r="E488" s="537">
        <f>COUNTIF($D$5:D488,D488)</f>
        <v>2</v>
      </c>
      <c r="F488" s="537" t="str">
        <f t="shared" si="14"/>
        <v>Waltham Forest2</v>
      </c>
      <c r="G488" s="541" t="str">
        <f t="shared" si="15"/>
        <v>NHS Newham CCG</v>
      </c>
      <c r="H488" s="546">
        <v>9.7384118644995368E-3</v>
      </c>
      <c r="I488" s="546">
        <v>1.2365066515650027E-2</v>
      </c>
      <c r="J488" s="384">
        <f>VLOOKUP($A488,'8.Non-elective admissions - CCG'!$D$5:$N$215,3,0)*$H488</f>
        <v>72.463522683741047</v>
      </c>
      <c r="K488" s="384">
        <f>VLOOKUP($A488,'8.Non-elective admissions - CCG'!$D$5:$N$215,4,0)*$H488</f>
        <v>74.265128878673465</v>
      </c>
      <c r="L488" s="384">
        <f>VLOOKUP($A488,'8.Non-elective admissions - CCG'!$D$5:$N$215,5,0)*$H488</f>
        <v>78.793490395665756</v>
      </c>
      <c r="M488" s="384">
        <f>VLOOKUP($A488,'8.Non-elective admissions - CCG'!$D$5:$N$215,6,0)*$H488</f>
        <v>76.397841076998873</v>
      </c>
      <c r="N488" s="384">
        <f>VLOOKUP($A488,'8.Non-elective admissions - CCG'!$D$5:$N$215,7,0)*$H488</f>
        <v>72.297969682044567</v>
      </c>
      <c r="O488" s="384">
        <f>VLOOKUP($A488,'8.Non-elective admissions - CCG'!$D$5:$N$215,8,0)*$H488</f>
        <v>73.622393695616495</v>
      </c>
      <c r="P488" s="384">
        <f>VLOOKUP($A488,'8.Non-elective admissions - CCG'!$D$5:$N$215,9,0)*$H488</f>
        <v>77.595665736332307</v>
      </c>
      <c r="Q488" s="384">
        <f>VLOOKUP($A488,'8.Non-elective admissions - CCG'!$D$5:$N$215,10,0)*$H488</f>
        <v>74.664403765117953</v>
      </c>
      <c r="R488" s="384">
        <f>VLOOKUP($A488,'8.Non-elective admissions - CCG'!$D$5:$Q$215,11,0)*$H488</f>
        <v>71.56758879220709</v>
      </c>
      <c r="S488" s="384">
        <f>VLOOKUP($A488,'8.Non-elective admissions - CCG'!$D$5:$Q$215,12,0)*$H488</f>
        <v>72.882274393914528</v>
      </c>
      <c r="T488" s="384">
        <f>VLOOKUP($A488,'8.Non-elective admissions - CCG'!$D$5:$Q$215,13,0)*$H488</f>
        <v>76.865284846494845</v>
      </c>
      <c r="U488" s="384">
        <f>VLOOKUP($A488,'8.Non-elective admissions - CCG'!$D$5:$Q$215,14,0)*$H488</f>
        <v>73.914546051551483</v>
      </c>
    </row>
    <row r="489" spans="1:21">
      <c r="A489" s="395" t="s">
        <v>404</v>
      </c>
      <c r="B489" s="395" t="s">
        <v>403</v>
      </c>
      <c r="C489" s="395" t="s">
        <v>699</v>
      </c>
      <c r="D489" s="395" t="s">
        <v>205</v>
      </c>
      <c r="E489" s="537">
        <f>COUNTIF($D$5:D489,D489)</f>
        <v>7</v>
      </c>
      <c r="F489" s="537" t="str">
        <f t="shared" si="14"/>
        <v>Hampshire7</v>
      </c>
      <c r="G489" s="541" t="str">
        <f t="shared" si="15"/>
        <v>NHS North &amp; West Reading CCG</v>
      </c>
      <c r="H489" s="546">
        <v>9.7018826053864686E-3</v>
      </c>
      <c r="I489" s="546">
        <v>0</v>
      </c>
      <c r="J489" s="384">
        <f>VLOOKUP($A489,'8.Non-elective admissions - CCG'!$D$5:$N$215,3,0)*$H489</f>
        <v>17.075313385480186</v>
      </c>
      <c r="K489" s="384">
        <f>VLOOKUP($A489,'8.Non-elective admissions - CCG'!$D$5:$N$215,4,0)*$H489</f>
        <v>17.201437859350207</v>
      </c>
      <c r="L489" s="384">
        <f>VLOOKUP($A489,'8.Non-elective admissions - CCG'!$D$5:$N$215,5,0)*$H489</f>
        <v>17.618618811381825</v>
      </c>
      <c r="M489" s="384">
        <f>VLOOKUP($A489,'8.Non-elective admissions - CCG'!$D$5:$N$215,6,0)*$H489</f>
        <v>16.823064437740136</v>
      </c>
      <c r="N489" s="384">
        <f>VLOOKUP($A489,'8.Non-elective admissions - CCG'!$D$5:$N$215,7,0)*$H489</f>
        <v>17.41487927666871</v>
      </c>
      <c r="O489" s="384">
        <f>VLOOKUP($A489,'8.Non-elective admissions - CCG'!$D$5:$N$215,8,0)*$H489</f>
        <v>16.871573850767067</v>
      </c>
      <c r="P489" s="384">
        <f>VLOOKUP($A489,'8.Non-elective admissions - CCG'!$D$5:$N$215,9,0)*$H489</f>
        <v>17.66712822440876</v>
      </c>
      <c r="Q489" s="384">
        <f>VLOOKUP($A489,'8.Non-elective admissions - CCG'!$D$5:$N$215,10,0)*$H489</f>
        <v>16.473796663946224</v>
      </c>
      <c r="R489" s="384">
        <f>VLOOKUP($A489,'8.Non-elective admissions - CCG'!$D$5:$Q$215,11,0)*$H489</f>
        <v>17.143226563717889</v>
      </c>
      <c r="S489" s="384">
        <f>VLOOKUP($A489,'8.Non-elective admissions - CCG'!$D$5:$Q$215,12,0)*$H489</f>
        <v>16.949188911610161</v>
      </c>
      <c r="T489" s="384">
        <f>VLOOKUP($A489,'8.Non-elective admissions - CCG'!$D$5:$Q$215,13,0)*$H489</f>
        <v>17.735041402646466</v>
      </c>
      <c r="U489" s="384">
        <f>VLOOKUP($A489,'8.Non-elective admissions - CCG'!$D$5:$Q$215,14,0)*$H489</f>
        <v>16.910381381188614</v>
      </c>
    </row>
    <row r="490" spans="1:21">
      <c r="A490" s="395" t="s">
        <v>404</v>
      </c>
      <c r="B490" s="395" t="s">
        <v>403</v>
      </c>
      <c r="C490" s="395" t="s">
        <v>744</v>
      </c>
      <c r="D490" s="395" t="s">
        <v>348</v>
      </c>
      <c r="E490" s="537">
        <f>COUNTIF($D$5:D490,D490)</f>
        <v>5</v>
      </c>
      <c r="F490" s="537" t="str">
        <f t="shared" si="14"/>
        <v>Oxfordshire5</v>
      </c>
      <c r="G490" s="541" t="str">
        <f t="shared" si="15"/>
        <v>NHS North &amp; West Reading CCG</v>
      </c>
      <c r="H490" s="546">
        <v>2.0119026877332621E-2</v>
      </c>
      <c r="I490" s="546">
        <v>3.1009987081527714E-3</v>
      </c>
      <c r="J490" s="384">
        <f>VLOOKUP($A490,'8.Non-elective admissions - CCG'!$D$5:$N$215,3,0)*$H490</f>
        <v>35.409487304105411</v>
      </c>
      <c r="K490" s="384">
        <f>VLOOKUP($A490,'8.Non-elective admissions - CCG'!$D$5:$N$215,4,0)*$H490</f>
        <v>35.671034653510738</v>
      </c>
      <c r="L490" s="384">
        <f>VLOOKUP($A490,'8.Non-elective admissions - CCG'!$D$5:$N$215,5,0)*$H490</f>
        <v>36.536152809236043</v>
      </c>
      <c r="M490" s="384">
        <f>VLOOKUP($A490,'8.Non-elective admissions - CCG'!$D$5:$N$215,6,0)*$H490</f>
        <v>34.886392605294766</v>
      </c>
      <c r="N490" s="384">
        <f>VLOOKUP($A490,'8.Non-elective admissions - CCG'!$D$5:$N$215,7,0)*$H490</f>
        <v>36.113653244812056</v>
      </c>
      <c r="O490" s="384">
        <f>VLOOKUP($A490,'8.Non-elective admissions - CCG'!$D$5:$N$215,8,0)*$H490</f>
        <v>34.986987739681432</v>
      </c>
      <c r="P490" s="384">
        <f>VLOOKUP($A490,'8.Non-elective admissions - CCG'!$D$5:$N$215,9,0)*$H490</f>
        <v>36.636747943622701</v>
      </c>
      <c r="Q490" s="384">
        <f>VLOOKUP($A490,'8.Non-elective admissions - CCG'!$D$5:$N$215,10,0)*$H490</f>
        <v>34.16210763771079</v>
      </c>
      <c r="R490" s="384">
        <f>VLOOKUP($A490,'8.Non-elective admissions - CCG'!$D$5:$Q$215,11,0)*$H490</f>
        <v>35.55032049224674</v>
      </c>
      <c r="S490" s="384">
        <f>VLOOKUP($A490,'8.Non-elective admissions - CCG'!$D$5:$Q$215,12,0)*$H490</f>
        <v>35.147939954700092</v>
      </c>
      <c r="T490" s="384">
        <f>VLOOKUP($A490,'8.Non-elective admissions - CCG'!$D$5:$Q$215,13,0)*$H490</f>
        <v>36.77758113176403</v>
      </c>
      <c r="U490" s="384">
        <f>VLOOKUP($A490,'8.Non-elective admissions - CCG'!$D$5:$Q$215,14,0)*$H490</f>
        <v>35.067463847190758</v>
      </c>
    </row>
    <row r="491" spans="1:21">
      <c r="A491" s="395" t="s">
        <v>404</v>
      </c>
      <c r="B491" s="395" t="s">
        <v>403</v>
      </c>
      <c r="C491" s="395" t="s">
        <v>748</v>
      </c>
      <c r="D491" s="395" t="s">
        <v>360</v>
      </c>
      <c r="E491" s="537">
        <f>COUNTIF($D$5:D491,D491)</f>
        <v>1</v>
      </c>
      <c r="F491" s="537" t="str">
        <f t="shared" si="14"/>
        <v>Reading1</v>
      </c>
      <c r="G491" s="541" t="str">
        <f t="shared" si="15"/>
        <v>NHS North &amp; West Reading CCG</v>
      </c>
      <c r="H491" s="546">
        <v>0.61342857928858963</v>
      </c>
      <c r="I491" s="546">
        <v>0.37279039700407923</v>
      </c>
      <c r="J491" s="384">
        <f>VLOOKUP($A491,'8.Non-elective admissions - CCG'!$D$5:$N$215,3,0)*$H491</f>
        <v>1079.6342995479176</v>
      </c>
      <c r="K491" s="384">
        <f>VLOOKUP($A491,'8.Non-elective admissions - CCG'!$D$5:$N$215,4,0)*$H491</f>
        <v>1087.6088710786694</v>
      </c>
      <c r="L491" s="384">
        <f>VLOOKUP($A491,'8.Non-elective admissions - CCG'!$D$5:$N$215,5,0)*$H491</f>
        <v>1113.9862999880788</v>
      </c>
      <c r="M491" s="384">
        <f>VLOOKUP($A491,'8.Non-elective admissions - CCG'!$D$5:$N$215,6,0)*$H491</f>
        <v>1063.6851564864144</v>
      </c>
      <c r="N491" s="384">
        <f>VLOOKUP($A491,'8.Non-elective admissions - CCG'!$D$5:$N$215,7,0)*$H491</f>
        <v>1101.1042998230184</v>
      </c>
      <c r="O491" s="384">
        <f>VLOOKUP($A491,'8.Non-elective admissions - CCG'!$D$5:$N$215,8,0)*$H491</f>
        <v>1066.7522993828575</v>
      </c>
      <c r="P491" s="384">
        <f>VLOOKUP($A491,'8.Non-elective admissions - CCG'!$D$5:$N$215,9,0)*$H491</f>
        <v>1117.0534428845217</v>
      </c>
      <c r="Q491" s="384">
        <f>VLOOKUP($A491,'8.Non-elective admissions - CCG'!$D$5:$N$215,10,0)*$H491</f>
        <v>1041.6017276320251</v>
      </c>
      <c r="R491" s="384">
        <f>VLOOKUP($A491,'8.Non-elective admissions - CCG'!$D$5:$Q$215,11,0)*$H491</f>
        <v>1083.9282996029378</v>
      </c>
      <c r="S491" s="384">
        <f>VLOOKUP($A491,'8.Non-elective admissions - CCG'!$D$5:$Q$215,12,0)*$H491</f>
        <v>1071.6597280171661</v>
      </c>
      <c r="T491" s="384">
        <f>VLOOKUP($A491,'8.Non-elective admissions - CCG'!$D$5:$Q$215,13,0)*$H491</f>
        <v>1121.3474429395419</v>
      </c>
      <c r="U491" s="384">
        <f>VLOOKUP($A491,'8.Non-elective admissions - CCG'!$D$5:$Q$215,14,0)*$H491</f>
        <v>1069.2060137000117</v>
      </c>
    </row>
    <row r="492" spans="1:21">
      <c r="A492" s="395" t="s">
        <v>404</v>
      </c>
      <c r="B492" s="395" t="s">
        <v>403</v>
      </c>
      <c r="C492" s="395" t="s">
        <v>790</v>
      </c>
      <c r="D492" s="395" t="s">
        <v>486</v>
      </c>
      <c r="E492" s="537">
        <f>COUNTIF($D$5:D492,D492)</f>
        <v>2</v>
      </c>
      <c r="F492" s="537" t="str">
        <f t="shared" si="14"/>
        <v>West Berkshire2</v>
      </c>
      <c r="G492" s="541" t="str">
        <f t="shared" si="15"/>
        <v>NHS North &amp; West Reading CCG</v>
      </c>
      <c r="H492" s="546">
        <v>0.35532915791693792</v>
      </c>
      <c r="I492" s="546">
        <v>0.23730754626851047</v>
      </c>
      <c r="J492" s="384">
        <f>VLOOKUP($A492,'8.Non-elective admissions - CCG'!$D$5:$N$215,3,0)*$H492</f>
        <v>625.37931793381074</v>
      </c>
      <c r="K492" s="384">
        <f>VLOOKUP($A492,'8.Non-elective admissions - CCG'!$D$5:$N$215,4,0)*$H492</f>
        <v>629.99859698673094</v>
      </c>
      <c r="L492" s="384">
        <f>VLOOKUP($A492,'8.Non-elective admissions - CCG'!$D$5:$N$215,5,0)*$H492</f>
        <v>645.27775077715921</v>
      </c>
      <c r="M492" s="384">
        <f>VLOOKUP($A492,'8.Non-elective admissions - CCG'!$D$5:$N$215,6,0)*$H492</f>
        <v>616.14075982797033</v>
      </c>
      <c r="N492" s="384">
        <f>VLOOKUP($A492,'8.Non-elective admissions - CCG'!$D$5:$N$215,7,0)*$H492</f>
        <v>637.81583846090359</v>
      </c>
      <c r="O492" s="384">
        <f>VLOOKUP($A492,'8.Non-elective admissions - CCG'!$D$5:$N$215,8,0)*$H492</f>
        <v>617.917405617555</v>
      </c>
      <c r="P492" s="384">
        <f>VLOOKUP($A492,'8.Non-elective admissions - CCG'!$D$5:$N$215,9,0)*$H492</f>
        <v>647.054396566744</v>
      </c>
      <c r="Q492" s="384">
        <f>VLOOKUP($A492,'8.Non-elective admissions - CCG'!$D$5:$N$215,10,0)*$H492</f>
        <v>603.34891014296056</v>
      </c>
      <c r="R492" s="384">
        <f>VLOOKUP($A492,'8.Non-elective admissions - CCG'!$D$5:$Q$215,11,0)*$H492</f>
        <v>627.86662203922936</v>
      </c>
      <c r="S492" s="384">
        <f>VLOOKUP($A492,'8.Non-elective admissions - CCG'!$D$5:$Q$215,12,0)*$H492</f>
        <v>620.76003888089053</v>
      </c>
      <c r="T492" s="384">
        <f>VLOOKUP($A492,'8.Non-elective admissions - CCG'!$D$5:$Q$215,13,0)*$H492</f>
        <v>649.54170067216251</v>
      </c>
      <c r="U492" s="384">
        <f>VLOOKUP($A492,'8.Non-elective admissions - CCG'!$D$5:$Q$215,14,0)*$H492</f>
        <v>619.33872224922277</v>
      </c>
    </row>
    <row r="493" spans="1:21">
      <c r="A493" s="395" t="s">
        <v>404</v>
      </c>
      <c r="B493" s="395" t="s">
        <v>403</v>
      </c>
      <c r="C493" s="395" t="s">
        <v>797</v>
      </c>
      <c r="D493" s="395" t="s">
        <v>507</v>
      </c>
      <c r="E493" s="537">
        <f>COUNTIF($D$5:D493,D493)</f>
        <v>2</v>
      </c>
      <c r="F493" s="537" t="str">
        <f t="shared" si="14"/>
        <v>Wokingham2</v>
      </c>
      <c r="G493" s="541" t="str">
        <f t="shared" si="15"/>
        <v>NHS North &amp; West Reading CCG</v>
      </c>
      <c r="H493" s="546">
        <v>1.4213533117532163E-3</v>
      </c>
      <c r="I493" s="546">
        <v>9.2841612209570469E-4</v>
      </c>
      <c r="J493" s="384">
        <f>VLOOKUP($A493,'8.Non-elective admissions - CCG'!$D$5:$N$215,3,0)*$H493</f>
        <v>2.5015818286856608</v>
      </c>
      <c r="K493" s="384">
        <f>VLOOKUP($A493,'8.Non-elective admissions - CCG'!$D$5:$N$215,4,0)*$H493</f>
        <v>2.5200594217384524</v>
      </c>
      <c r="L493" s="384">
        <f>VLOOKUP($A493,'8.Non-elective admissions - CCG'!$D$5:$N$215,5,0)*$H493</f>
        <v>2.5811776141438409</v>
      </c>
      <c r="M493" s="384">
        <f>VLOOKUP($A493,'8.Non-elective admissions - CCG'!$D$5:$N$215,6,0)*$H493</f>
        <v>2.4646266425800771</v>
      </c>
      <c r="N493" s="384">
        <f>VLOOKUP($A493,'8.Non-elective admissions - CCG'!$D$5:$N$215,7,0)*$H493</f>
        <v>2.5513291945970233</v>
      </c>
      <c r="O493" s="384">
        <f>VLOOKUP($A493,'8.Non-elective admissions - CCG'!$D$5:$N$215,8,0)*$H493</f>
        <v>2.4717334091388432</v>
      </c>
      <c r="P493" s="384">
        <f>VLOOKUP($A493,'8.Non-elective admissions - CCG'!$D$5:$N$215,9,0)*$H493</f>
        <v>2.588284380702607</v>
      </c>
      <c r="Q493" s="384">
        <f>VLOOKUP($A493,'8.Non-elective admissions - CCG'!$D$5:$N$215,10,0)*$H493</f>
        <v>2.4134579233569613</v>
      </c>
      <c r="R493" s="384">
        <f>VLOOKUP($A493,'8.Non-elective admissions - CCG'!$D$5:$Q$215,11,0)*$H493</f>
        <v>2.5115313018679331</v>
      </c>
      <c r="S493" s="384">
        <f>VLOOKUP($A493,'8.Non-elective admissions - CCG'!$D$5:$Q$215,12,0)*$H493</f>
        <v>2.4831042356328688</v>
      </c>
      <c r="T493" s="384">
        <f>VLOOKUP($A493,'8.Non-elective admissions - CCG'!$D$5:$Q$215,13,0)*$H493</f>
        <v>2.5982338538848793</v>
      </c>
      <c r="U493" s="384">
        <f>VLOOKUP($A493,'8.Non-elective admissions - CCG'!$D$5:$Q$215,14,0)*$H493</f>
        <v>2.477418822385856</v>
      </c>
    </row>
    <row r="494" spans="1:21">
      <c r="A494" s="395" t="s">
        <v>407</v>
      </c>
      <c r="B494" s="395" t="s">
        <v>406</v>
      </c>
      <c r="C494" s="395" t="s">
        <v>673</v>
      </c>
      <c r="D494" s="395" t="s">
        <v>110</v>
      </c>
      <c r="E494" s="537">
        <f>COUNTIF($D$5:D494,D494)</f>
        <v>2</v>
      </c>
      <c r="F494" s="537" t="str">
        <f t="shared" si="14"/>
        <v>Cheshire East2</v>
      </c>
      <c r="G494" s="541" t="str">
        <f t="shared" si="15"/>
        <v>NHS North Derbyshire CCG</v>
      </c>
      <c r="H494" s="546">
        <v>3.5571717896610852E-3</v>
      </c>
      <c r="I494" s="546">
        <v>2.6537488385022672E-3</v>
      </c>
      <c r="J494" s="384">
        <f>VLOOKUP($A494,'8.Non-elective admissions - CCG'!$D$5:$N$215,3,0)*$H494</f>
        <v>32.807795416044186</v>
      </c>
      <c r="K494" s="384">
        <f>VLOOKUP($A494,'8.Non-elective admissions - CCG'!$D$5:$N$215,4,0)*$H494</f>
        <v>32.124818432429258</v>
      </c>
      <c r="L494" s="384">
        <f>VLOOKUP($A494,'8.Non-elective admissions - CCG'!$D$5:$N$215,5,0)*$H494</f>
        <v>33.327142497334705</v>
      </c>
      <c r="M494" s="384">
        <f>VLOOKUP($A494,'8.Non-elective admissions - CCG'!$D$5:$N$215,6,0)*$H494</f>
        <v>34.212878272960317</v>
      </c>
      <c r="N494" s="384">
        <f>VLOOKUP($A494,'8.Non-elective admissions - CCG'!$D$5:$N$215,7,0)*$H494</f>
        <v>32.524211353795373</v>
      </c>
      <c r="O494" s="384">
        <f>VLOOKUP($A494,'8.Non-elective admissions - CCG'!$D$5:$N$215,8,0)*$H494</f>
        <v>32.94919536749466</v>
      </c>
      <c r="P494" s="384">
        <f>VLOOKUP($A494,'8.Non-elective admissions - CCG'!$D$5:$N$215,9,0)*$H494</f>
        <v>33.9248108425937</v>
      </c>
      <c r="Q494" s="384">
        <f>VLOOKUP($A494,'8.Non-elective admissions - CCG'!$D$5:$N$215,10,0)*$H494</f>
        <v>33.769599289953696</v>
      </c>
      <c r="R494" s="384">
        <f>VLOOKUP($A494,'8.Non-elective admissions - CCG'!$D$5:$Q$215,11,0)*$H494</f>
        <v>32.336768642637452</v>
      </c>
      <c r="S494" s="384">
        <f>VLOOKUP($A494,'8.Non-elective admissions - CCG'!$D$5:$Q$215,12,0)*$H494</f>
        <v>32.759303398996089</v>
      </c>
      <c r="T494" s="384">
        <f>VLOOKUP($A494,'8.Non-elective admissions - CCG'!$D$5:$Q$215,13,0)*$H494</f>
        <v>33.729296231679669</v>
      </c>
      <c r="U494" s="384">
        <f>VLOOKUP($A494,'8.Non-elective admissions - CCG'!$D$5:$Q$215,14,0)*$H494</f>
        <v>33.574979189860095</v>
      </c>
    </row>
    <row r="495" spans="1:21">
      <c r="A495" s="395" t="s">
        <v>407</v>
      </c>
      <c r="B495" s="395" t="s">
        <v>406</v>
      </c>
      <c r="C495" s="395" t="s">
        <v>683</v>
      </c>
      <c r="D495" s="395" t="s">
        <v>146</v>
      </c>
      <c r="E495" s="537">
        <f>COUNTIF($D$5:D495,D495)</f>
        <v>7</v>
      </c>
      <c r="F495" s="537" t="str">
        <f t="shared" si="14"/>
        <v>Derbyshire7</v>
      </c>
      <c r="G495" s="541" t="str">
        <f t="shared" si="15"/>
        <v>NHS North Derbyshire CCG</v>
      </c>
      <c r="H495" s="546">
        <v>0.98302149138998818</v>
      </c>
      <c r="I495" s="546">
        <v>0.36100045613501597</v>
      </c>
      <c r="J495" s="384">
        <f>VLOOKUP($A495,'8.Non-elective admissions - CCG'!$D$5:$N$215,3,0)*$H495</f>
        <v>9066.407215089861</v>
      </c>
      <c r="K495" s="384">
        <f>VLOOKUP($A495,'8.Non-elective admissions - CCG'!$D$5:$N$215,4,0)*$H495</f>
        <v>8877.6670887429827</v>
      </c>
      <c r="L495" s="384">
        <f>VLOOKUP($A495,'8.Non-elective admissions - CCG'!$D$5:$N$215,5,0)*$H495</f>
        <v>9209.9283528327996</v>
      </c>
      <c r="M495" s="384">
        <f>VLOOKUP($A495,'8.Non-elective admissions - CCG'!$D$5:$N$215,6,0)*$H495</f>
        <v>9454.7007041889065</v>
      </c>
      <c r="N495" s="384">
        <f>VLOOKUP($A495,'8.Non-elective admissions - CCG'!$D$5:$N$215,7,0)*$H495</f>
        <v>8988.0389932860944</v>
      </c>
      <c r="O495" s="384">
        <f>VLOOKUP($A495,'8.Non-elective admissions - CCG'!$D$5:$N$215,8,0)*$H495</f>
        <v>9105.4829750971003</v>
      </c>
      <c r="P495" s="384">
        <f>VLOOKUP($A495,'8.Non-elective admissions - CCG'!$D$5:$N$215,9,0)*$H495</f>
        <v>9375.0935073020628</v>
      </c>
      <c r="Q495" s="384">
        <f>VLOOKUP($A495,'8.Non-elective admissions - CCG'!$D$5:$N$215,10,0)*$H495</f>
        <v>9332.2009226929658</v>
      </c>
      <c r="R495" s="384">
        <f>VLOOKUP($A495,'8.Non-elective admissions - CCG'!$D$5:$Q$215,11,0)*$H495</f>
        <v>8936.239354593301</v>
      </c>
      <c r="S495" s="384">
        <f>VLOOKUP($A495,'8.Non-elective admissions - CCG'!$D$5:$Q$215,12,0)*$H495</f>
        <v>9053.0064861574883</v>
      </c>
      <c r="T495" s="384">
        <f>VLOOKUP($A495,'8.Non-elective admissions - CCG'!$D$5:$Q$215,13,0)*$H495</f>
        <v>9321.0632057664825</v>
      </c>
      <c r="U495" s="384">
        <f>VLOOKUP($A495,'8.Non-elective admissions - CCG'!$D$5:$Q$215,14,0)*$H495</f>
        <v>9278.4178184851389</v>
      </c>
    </row>
    <row r="496" spans="1:21">
      <c r="A496" s="395" t="s">
        <v>407</v>
      </c>
      <c r="B496" s="395" t="s">
        <v>406</v>
      </c>
      <c r="C496" s="395" t="s">
        <v>758</v>
      </c>
      <c r="D496" s="395" t="s">
        <v>390</v>
      </c>
      <c r="E496" s="537">
        <f>COUNTIF($D$5:D496,D496)</f>
        <v>3</v>
      </c>
      <c r="F496" s="537" t="str">
        <f t="shared" si="14"/>
        <v>Sheffield3</v>
      </c>
      <c r="G496" s="541" t="str">
        <f t="shared" si="15"/>
        <v>NHS North Derbyshire CCG</v>
      </c>
      <c r="H496" s="546">
        <v>6.3656468980840958E-3</v>
      </c>
      <c r="I496" s="546">
        <v>3.2025578803753503E-3</v>
      </c>
      <c r="J496" s="384">
        <f>VLOOKUP($A496,'8.Non-elective admissions - CCG'!$D$5:$N$215,3,0)*$H496</f>
        <v>58.710361341029618</v>
      </c>
      <c r="K496" s="384">
        <f>VLOOKUP($A496,'8.Non-elective admissions - CCG'!$D$5:$N$215,4,0)*$H496</f>
        <v>57.488157136597472</v>
      </c>
      <c r="L496" s="384">
        <f>VLOOKUP($A496,'8.Non-elective admissions - CCG'!$D$5:$N$215,5,0)*$H496</f>
        <v>59.639745788149895</v>
      </c>
      <c r="M496" s="384">
        <f>VLOOKUP($A496,'8.Non-elective admissions - CCG'!$D$5:$N$215,6,0)*$H496</f>
        <v>61.224791865772836</v>
      </c>
      <c r="N496" s="384">
        <f>VLOOKUP($A496,'8.Non-elective admissions - CCG'!$D$5:$N$215,7,0)*$H496</f>
        <v>58.202880647674561</v>
      </c>
      <c r="O496" s="384">
        <f>VLOOKUP($A496,'8.Non-elective admissions - CCG'!$D$5:$N$215,8,0)*$H496</f>
        <v>58.963400051433226</v>
      </c>
      <c r="P496" s="384">
        <f>VLOOKUP($A496,'8.Non-elective admissions - CCG'!$D$5:$N$215,9,0)*$H496</f>
        <v>60.709288074282618</v>
      </c>
      <c r="Q496" s="384">
        <f>VLOOKUP($A496,'8.Non-elective admissions - CCG'!$D$5:$N$215,10,0)*$H496</f>
        <v>60.431533161944301</v>
      </c>
      <c r="R496" s="384">
        <f>VLOOKUP($A496,'8.Non-elective admissions - CCG'!$D$5:$Q$215,11,0)*$H496</f>
        <v>57.867447279986521</v>
      </c>
      <c r="S496" s="384">
        <f>VLOOKUP($A496,'8.Non-elective admissions - CCG'!$D$5:$Q$215,12,0)*$H496</f>
        <v>58.623583677155956</v>
      </c>
      <c r="T496" s="384">
        <f>VLOOKUP($A496,'8.Non-elective admissions - CCG'!$D$5:$Q$215,13,0)*$H496</f>
        <v>60.359409842336554</v>
      </c>
      <c r="U496" s="384">
        <f>VLOOKUP($A496,'8.Non-elective admissions - CCG'!$D$5:$Q$215,14,0)*$H496</f>
        <v>60.08325567923557</v>
      </c>
    </row>
    <row r="497" spans="1:21">
      <c r="A497" s="395" t="s">
        <v>407</v>
      </c>
      <c r="B497" s="395" t="s">
        <v>406</v>
      </c>
      <c r="C497" s="395" t="s">
        <v>769</v>
      </c>
      <c r="D497" s="395" t="s">
        <v>423</v>
      </c>
      <c r="E497" s="537">
        <f>COUNTIF($D$5:D497,D497)</f>
        <v>6</v>
      </c>
      <c r="F497" s="537" t="str">
        <f t="shared" si="14"/>
        <v>Staffordshire6</v>
      </c>
      <c r="G497" s="541" t="str">
        <f t="shared" si="15"/>
        <v>NHS North Derbyshire CCG</v>
      </c>
      <c r="H497" s="546">
        <v>7.0556899222666532E-3</v>
      </c>
      <c r="I497" s="546">
        <v>2.351461240559659E-3</v>
      </c>
      <c r="J497" s="384">
        <f>VLOOKUP($A497,'8.Non-elective admissions - CCG'!$D$5:$N$215,3,0)*$H497</f>
        <v>65.074628153065348</v>
      </c>
      <c r="K497" s="384">
        <f>VLOOKUP($A497,'8.Non-elective admissions - CCG'!$D$5:$N$215,4,0)*$H497</f>
        <v>63.719935687990144</v>
      </c>
      <c r="L497" s="384">
        <f>VLOOKUP($A497,'8.Non-elective admissions - CCG'!$D$5:$N$215,5,0)*$H497</f>
        <v>66.104758881716279</v>
      </c>
      <c r="M497" s="384">
        <f>VLOOKUP($A497,'8.Non-elective admissions - CCG'!$D$5:$N$215,6,0)*$H497</f>
        <v>67.861625672360674</v>
      </c>
      <c r="N497" s="384">
        <f>VLOOKUP($A497,'8.Non-elective admissions - CCG'!$D$5:$N$215,7,0)*$H497</f>
        <v>64.512136002436023</v>
      </c>
      <c r="O497" s="384">
        <f>VLOOKUP($A497,'8.Non-elective admissions - CCG'!$D$5:$N$215,8,0)*$H497</f>
        <v>65.355096533973409</v>
      </c>
      <c r="P497" s="384">
        <f>VLOOKUP($A497,'8.Non-elective admissions - CCG'!$D$5:$N$215,9,0)*$H497</f>
        <v>67.290240711061216</v>
      </c>
      <c r="Q497" s="384">
        <f>VLOOKUP($A497,'8.Non-elective admissions - CCG'!$D$5:$N$215,10,0)*$H497</f>
        <v>66.982376865136089</v>
      </c>
      <c r="R497" s="384">
        <f>VLOOKUP($A497,'8.Non-elective admissions - CCG'!$D$5:$Q$215,11,0)*$H497</f>
        <v>64.140341294077189</v>
      </c>
      <c r="S497" s="384">
        <f>VLOOKUP($A497,'8.Non-elective admissions - CCG'!$D$5:$Q$215,12,0)*$H497</f>
        <v>64.978443696359847</v>
      </c>
      <c r="T497" s="384">
        <f>VLOOKUP($A497,'8.Non-elective admissions - CCG'!$D$5:$Q$215,13,0)*$H497</f>
        <v>66.902435299500411</v>
      </c>
      <c r="U497" s="384">
        <f>VLOOKUP($A497,'8.Non-elective admissions - CCG'!$D$5:$Q$215,14,0)*$H497</f>
        <v>66.596345725765175</v>
      </c>
    </row>
    <row r="498" spans="1:21">
      <c r="A498" s="395" t="s">
        <v>410</v>
      </c>
      <c r="B498" s="395" t="s">
        <v>409</v>
      </c>
      <c r="C498" s="395" t="s">
        <v>677</v>
      </c>
      <c r="D498" s="395" t="s">
        <v>124</v>
      </c>
      <c r="E498" s="537">
        <f>COUNTIF($D$5:D498,D498)</f>
        <v>4</v>
      </c>
      <c r="F498" s="537" t="str">
        <f t="shared" si="14"/>
        <v>County Durham4</v>
      </c>
      <c r="G498" s="541" t="str">
        <f t="shared" si="15"/>
        <v>NHS North Durham CCG</v>
      </c>
      <c r="H498" s="546">
        <v>0.96633449288313011</v>
      </c>
      <c r="I498" s="546">
        <v>0.45654894510473565</v>
      </c>
      <c r="J498" s="384">
        <f>VLOOKUP($A498,'8.Non-elective admissions - CCG'!$D$5:$N$215,3,0)*$H498</f>
        <v>6902.5272826641985</v>
      </c>
      <c r="K498" s="384">
        <f>VLOOKUP($A498,'8.Non-elective admissions - CCG'!$D$5:$N$215,4,0)*$H498</f>
        <v>6771.1057916320924</v>
      </c>
      <c r="L498" s="384">
        <f>VLOOKUP($A498,'8.Non-elective admissions - CCG'!$D$5:$N$215,5,0)*$H498</f>
        <v>7181.7979511074227</v>
      </c>
      <c r="M498" s="384">
        <f>VLOOKUP($A498,'8.Non-elective admissions - CCG'!$D$5:$N$215,6,0)*$H498</f>
        <v>6964.3726902087192</v>
      </c>
      <c r="N498" s="384">
        <f>VLOOKUP($A498,'8.Non-elective admissions - CCG'!$D$5:$N$215,7,0)*$H498</f>
        <v>6907.3589551286141</v>
      </c>
      <c r="O498" s="384">
        <f>VLOOKUP($A498,'8.Non-elective admissions - CCG'!$D$5:$N$215,8,0)*$H498</f>
        <v>6859.0422304844578</v>
      </c>
      <c r="P498" s="384">
        <f>VLOOKUP($A498,'8.Non-elective admissions - CCG'!$D$5:$N$215,9,0)*$H498</f>
        <v>6982.7330455734982</v>
      </c>
      <c r="Q498" s="384">
        <f>VLOOKUP($A498,'8.Non-elective admissions - CCG'!$D$5:$N$215,10,0)*$H498</f>
        <v>7033.9487736963038</v>
      </c>
      <c r="R498" s="384">
        <f>VLOOKUP($A498,'8.Non-elective admissions - CCG'!$D$5:$Q$215,11,0)*$H498</f>
        <v>6907.3589551286141</v>
      </c>
      <c r="S498" s="384">
        <f>VLOOKUP($A498,'8.Non-elective admissions - CCG'!$D$5:$Q$215,12,0)*$H498</f>
        <v>6859.0422304844578</v>
      </c>
      <c r="T498" s="384">
        <f>VLOOKUP($A498,'8.Non-elective admissions - CCG'!$D$5:$Q$215,13,0)*$H498</f>
        <v>6982.7330455734982</v>
      </c>
      <c r="U498" s="384">
        <f>VLOOKUP($A498,'8.Non-elective admissions - CCG'!$D$5:$Q$215,14,0)*$H498</f>
        <v>7033.9487736963038</v>
      </c>
    </row>
    <row r="499" spans="1:21">
      <c r="A499" s="395" t="s">
        <v>410</v>
      </c>
      <c r="B499" s="395" t="s">
        <v>409</v>
      </c>
      <c r="C499" s="395" t="s">
        <v>693</v>
      </c>
      <c r="D499" s="395" t="s">
        <v>184</v>
      </c>
      <c r="E499" s="537">
        <f>COUNTIF($D$5:D499,D499)</f>
        <v>2</v>
      </c>
      <c r="F499" s="537" t="str">
        <f t="shared" si="14"/>
        <v>Gateshead2</v>
      </c>
      <c r="G499" s="541" t="str">
        <f t="shared" si="15"/>
        <v>NHS North Durham CCG</v>
      </c>
      <c r="H499" s="546">
        <v>8.2857279632348249E-3</v>
      </c>
      <c r="I499" s="546">
        <v>1.0224123418017496E-2</v>
      </c>
      <c r="J499" s="384">
        <f>VLOOKUP($A499,'8.Non-elective admissions - CCG'!$D$5:$N$215,3,0)*$H499</f>
        <v>59.184954841386357</v>
      </c>
      <c r="K499" s="384">
        <f>VLOOKUP($A499,'8.Non-elective admissions - CCG'!$D$5:$N$215,4,0)*$H499</f>
        <v>58.058095838386421</v>
      </c>
      <c r="L499" s="384">
        <f>VLOOKUP($A499,'8.Non-elective admissions - CCG'!$D$5:$N$215,5,0)*$H499</f>
        <v>61.579530222761221</v>
      </c>
      <c r="M499" s="384">
        <f>VLOOKUP($A499,'8.Non-elective admissions - CCG'!$D$5:$N$215,6,0)*$H499</f>
        <v>59.715241431033384</v>
      </c>
      <c r="N499" s="384">
        <f>VLOOKUP($A499,'8.Non-elective admissions - CCG'!$D$5:$N$215,7,0)*$H499</f>
        <v>59.226383481202525</v>
      </c>
      <c r="O499" s="384">
        <f>VLOOKUP($A499,'8.Non-elective admissions - CCG'!$D$5:$N$215,8,0)*$H499</f>
        <v>58.81209708304079</v>
      </c>
      <c r="P499" s="384">
        <f>VLOOKUP($A499,'8.Non-elective admissions - CCG'!$D$5:$N$215,9,0)*$H499</f>
        <v>59.872670262334843</v>
      </c>
      <c r="Q499" s="384">
        <f>VLOOKUP($A499,'8.Non-elective admissions - CCG'!$D$5:$N$215,10,0)*$H499</f>
        <v>60.311813844386293</v>
      </c>
      <c r="R499" s="384">
        <f>VLOOKUP($A499,'8.Non-elective admissions - CCG'!$D$5:$Q$215,11,0)*$H499</f>
        <v>59.226383481202525</v>
      </c>
      <c r="S499" s="384">
        <f>VLOOKUP($A499,'8.Non-elective admissions - CCG'!$D$5:$Q$215,12,0)*$H499</f>
        <v>58.81209708304079</v>
      </c>
      <c r="T499" s="384">
        <f>VLOOKUP($A499,'8.Non-elective admissions - CCG'!$D$5:$Q$215,13,0)*$H499</f>
        <v>59.872670262334843</v>
      </c>
      <c r="U499" s="384">
        <f>VLOOKUP($A499,'8.Non-elective admissions - CCG'!$D$5:$Q$215,14,0)*$H499</f>
        <v>60.311813844386293</v>
      </c>
    </row>
    <row r="500" spans="1:21">
      <c r="A500" s="395" t="s">
        <v>410</v>
      </c>
      <c r="B500" s="395" t="s">
        <v>409</v>
      </c>
      <c r="C500" s="395" t="s">
        <v>740</v>
      </c>
      <c r="D500" s="395" t="s">
        <v>336</v>
      </c>
      <c r="E500" s="537">
        <f>COUNTIF($D$5:D500,D500)</f>
        <v>3</v>
      </c>
      <c r="F500" s="537" t="str">
        <f t="shared" si="14"/>
        <v>Northumberland3</v>
      </c>
      <c r="G500" s="541" t="str">
        <f t="shared" si="15"/>
        <v>NHS North Durham CCG</v>
      </c>
      <c r="H500" s="546">
        <v>2.0544775643071425E-3</v>
      </c>
      <c r="I500" s="546">
        <v>1.6161527405557056E-3</v>
      </c>
      <c r="J500" s="384">
        <f>VLOOKUP($A500,'8.Non-elective admissions - CCG'!$D$5:$N$215,3,0)*$H500</f>
        <v>14.67513324184592</v>
      </c>
      <c r="K500" s="384">
        <f>VLOOKUP($A500,'8.Non-elective admissions - CCG'!$D$5:$N$215,4,0)*$H500</f>
        <v>14.395724293100148</v>
      </c>
      <c r="L500" s="384">
        <f>VLOOKUP($A500,'8.Non-elective admissions - CCG'!$D$5:$N$215,5,0)*$H500</f>
        <v>15.268877257930683</v>
      </c>
      <c r="M500" s="384">
        <f>VLOOKUP($A500,'8.Non-elective admissions - CCG'!$D$5:$N$215,6,0)*$H500</f>
        <v>14.806619805961576</v>
      </c>
      <c r="N500" s="384">
        <f>VLOOKUP($A500,'8.Non-elective admissions - CCG'!$D$5:$N$215,7,0)*$H500</f>
        <v>14.685405629667455</v>
      </c>
      <c r="O500" s="384">
        <f>VLOOKUP($A500,'8.Non-elective admissions - CCG'!$D$5:$N$215,8,0)*$H500</f>
        <v>14.582681751452098</v>
      </c>
      <c r="P500" s="384">
        <f>VLOOKUP($A500,'8.Non-elective admissions - CCG'!$D$5:$N$215,9,0)*$H500</f>
        <v>14.845654879683412</v>
      </c>
      <c r="Q500" s="384">
        <f>VLOOKUP($A500,'8.Non-elective admissions - CCG'!$D$5:$N$215,10,0)*$H500</f>
        <v>14.95454219059169</v>
      </c>
      <c r="R500" s="384">
        <f>VLOOKUP($A500,'8.Non-elective admissions - CCG'!$D$5:$Q$215,11,0)*$H500</f>
        <v>14.685405629667455</v>
      </c>
      <c r="S500" s="384">
        <f>VLOOKUP($A500,'8.Non-elective admissions - CCG'!$D$5:$Q$215,12,0)*$H500</f>
        <v>14.582681751452098</v>
      </c>
      <c r="T500" s="384">
        <f>VLOOKUP($A500,'8.Non-elective admissions - CCG'!$D$5:$Q$215,13,0)*$H500</f>
        <v>14.845654879683412</v>
      </c>
      <c r="U500" s="384">
        <f>VLOOKUP($A500,'8.Non-elective admissions - CCG'!$D$5:$Q$215,14,0)*$H500</f>
        <v>14.95454219059169</v>
      </c>
    </row>
    <row r="501" spans="1:21">
      <c r="A501" s="395" t="s">
        <v>410</v>
      </c>
      <c r="B501" s="395" t="s">
        <v>409</v>
      </c>
      <c r="C501" s="395" t="s">
        <v>774</v>
      </c>
      <c r="D501" s="395" t="s">
        <v>438</v>
      </c>
      <c r="E501" s="537">
        <f>COUNTIF($D$5:D501,D501)</f>
        <v>3</v>
      </c>
      <c r="F501" s="537" t="str">
        <f t="shared" si="14"/>
        <v>Sunderland3</v>
      </c>
      <c r="G501" s="541" t="str">
        <f t="shared" si="15"/>
        <v>NHS North Durham CCG</v>
      </c>
      <c r="H501" s="546">
        <v>2.3325301589327888E-2</v>
      </c>
      <c r="I501" s="546">
        <v>2.0173964648120095E-2</v>
      </c>
      <c r="J501" s="384">
        <f>VLOOKUP($A501,'8.Non-elective admissions - CCG'!$D$5:$N$215,3,0)*$H501</f>
        <v>166.61262925256909</v>
      </c>
      <c r="K501" s="384">
        <f>VLOOKUP($A501,'8.Non-elective admissions - CCG'!$D$5:$N$215,4,0)*$H501</f>
        <v>163.44038823642052</v>
      </c>
      <c r="L501" s="384">
        <f>VLOOKUP($A501,'8.Non-elective admissions - CCG'!$D$5:$N$215,5,0)*$H501</f>
        <v>173.35364141188487</v>
      </c>
      <c r="M501" s="384">
        <f>VLOOKUP($A501,'8.Non-elective admissions - CCG'!$D$5:$N$215,6,0)*$H501</f>
        <v>168.10544855428608</v>
      </c>
      <c r="N501" s="384">
        <f>VLOOKUP($A501,'8.Non-elective admissions - CCG'!$D$5:$N$215,7,0)*$H501</f>
        <v>166.72925576051574</v>
      </c>
      <c r="O501" s="384">
        <f>VLOOKUP($A501,'8.Non-elective admissions - CCG'!$D$5:$N$215,8,0)*$H501</f>
        <v>165.56299068104934</v>
      </c>
      <c r="P501" s="384">
        <f>VLOOKUP($A501,'8.Non-elective admissions - CCG'!$D$5:$N$215,9,0)*$H501</f>
        <v>168.54862928448333</v>
      </c>
      <c r="Q501" s="384">
        <f>VLOOKUP($A501,'8.Non-elective admissions - CCG'!$D$5:$N$215,10,0)*$H501</f>
        <v>169.7848702687177</v>
      </c>
      <c r="R501" s="384">
        <f>VLOOKUP($A501,'8.Non-elective admissions - CCG'!$D$5:$Q$215,11,0)*$H501</f>
        <v>166.72925576051574</v>
      </c>
      <c r="S501" s="384">
        <f>VLOOKUP($A501,'8.Non-elective admissions - CCG'!$D$5:$Q$215,12,0)*$H501</f>
        <v>165.56299068104934</v>
      </c>
      <c r="T501" s="384">
        <f>VLOOKUP($A501,'8.Non-elective admissions - CCG'!$D$5:$Q$215,13,0)*$H501</f>
        <v>168.54862928448333</v>
      </c>
      <c r="U501" s="384">
        <f>VLOOKUP($A501,'8.Non-elective admissions - CCG'!$D$5:$Q$215,14,0)*$H501</f>
        <v>169.7848702687177</v>
      </c>
    </row>
    <row r="502" spans="1:21">
      <c r="A502" s="395" t="s">
        <v>413</v>
      </c>
      <c r="B502" s="395" t="s">
        <v>412</v>
      </c>
      <c r="C502" s="395" t="s">
        <v>692</v>
      </c>
      <c r="D502" s="395" t="s">
        <v>180</v>
      </c>
      <c r="E502" s="537">
        <f>COUNTIF($D$5:D502,D502)</f>
        <v>8</v>
      </c>
      <c r="F502" s="537" t="str">
        <f t="shared" si="14"/>
        <v>Essex8</v>
      </c>
      <c r="G502" s="541" t="str">
        <f t="shared" si="15"/>
        <v>NHS North East Essex CCG</v>
      </c>
      <c r="H502" s="546">
        <v>0.98684877601274679</v>
      </c>
      <c r="I502" s="546">
        <v>0.22210706193661262</v>
      </c>
      <c r="J502" s="384">
        <f>VLOOKUP($A502,'8.Non-elective admissions - CCG'!$D$5:$N$215,3,0)*$H502</f>
        <v>7907.6192421901396</v>
      </c>
      <c r="K502" s="384">
        <f>VLOOKUP($A502,'8.Non-elective admissions - CCG'!$D$5:$N$215,4,0)*$H502</f>
        <v>8083.2783243204085</v>
      </c>
      <c r="L502" s="384">
        <f>VLOOKUP($A502,'8.Non-elective admissions - CCG'!$D$5:$N$215,5,0)*$H502</f>
        <v>9263.5494604316536</v>
      </c>
      <c r="M502" s="384">
        <f>VLOOKUP($A502,'8.Non-elective admissions - CCG'!$D$5:$N$215,6,0)*$H502</f>
        <v>9066.179705229104</v>
      </c>
      <c r="N502" s="384">
        <f>VLOOKUP($A502,'8.Non-elective admissions - CCG'!$D$5:$N$215,7,0)*$H502</f>
        <v>8556.9657368065273</v>
      </c>
      <c r="O502" s="384">
        <f>VLOOKUP($A502,'8.Non-elective admissions - CCG'!$D$5:$N$215,8,0)*$H502</f>
        <v>8562.8868294626045</v>
      </c>
      <c r="P502" s="384">
        <f>VLOOKUP($A502,'8.Non-elective admissions - CCG'!$D$5:$N$215,9,0)*$H502</f>
        <v>8560.9131319105782</v>
      </c>
      <c r="Q502" s="384">
        <f>VLOOKUP($A502,'8.Non-elective admissions - CCG'!$D$5:$N$215,10,0)*$H502</f>
        <v>8562.8868294626045</v>
      </c>
      <c r="R502" s="384">
        <f>VLOOKUP($A502,'8.Non-elective admissions - CCG'!$D$5:$Q$215,11,0)*$H502</f>
        <v>8693.877188595432</v>
      </c>
      <c r="S502" s="384">
        <f>VLOOKUP($A502,'8.Non-elective admissions - CCG'!$D$5:$Q$215,12,0)*$H502</f>
        <v>8699.8930187340065</v>
      </c>
      <c r="T502" s="384">
        <f>VLOOKUP($A502,'8.Non-elective admissions - CCG'!$D$5:$Q$215,13,0)*$H502</f>
        <v>8697.8877420211466</v>
      </c>
      <c r="U502" s="384">
        <f>VLOOKUP($A502,'8.Non-elective admissions - CCG'!$D$5:$Q$215,14,0)*$H502</f>
        <v>8699.8930187340065</v>
      </c>
    </row>
    <row r="503" spans="1:21">
      <c r="A503" s="395" t="s">
        <v>413</v>
      </c>
      <c r="B503" s="395" t="s">
        <v>412</v>
      </c>
      <c r="C503" s="395" t="s">
        <v>773</v>
      </c>
      <c r="D503" s="395" t="s">
        <v>435</v>
      </c>
      <c r="E503" s="537">
        <f>COUNTIF($D$5:D503,D503)</f>
        <v>4</v>
      </c>
      <c r="F503" s="537" t="str">
        <f t="shared" si="14"/>
        <v>Suffolk4</v>
      </c>
      <c r="G503" s="541" t="str">
        <f t="shared" si="15"/>
        <v>NHS North East Essex CCG</v>
      </c>
      <c r="H503" s="546">
        <v>1.3151223987253149E-2</v>
      </c>
      <c r="I503" s="546">
        <v>5.8454902002865053E-3</v>
      </c>
      <c r="J503" s="384">
        <f>VLOOKUP($A503,'8.Non-elective admissions - CCG'!$D$5:$N$215,3,0)*$H503</f>
        <v>105.38075780985949</v>
      </c>
      <c r="K503" s="384">
        <f>VLOOKUP($A503,'8.Non-elective admissions - CCG'!$D$5:$N$215,4,0)*$H503</f>
        <v>107.72167567959055</v>
      </c>
      <c r="L503" s="384">
        <f>VLOOKUP($A503,'8.Non-elective admissions - CCG'!$D$5:$N$215,5,0)*$H503</f>
        <v>123.45053956834531</v>
      </c>
      <c r="M503" s="384">
        <f>VLOOKUP($A503,'8.Non-elective admissions - CCG'!$D$5:$N$215,6,0)*$H503</f>
        <v>120.82029477089468</v>
      </c>
      <c r="N503" s="384">
        <f>VLOOKUP($A503,'8.Non-elective admissions - CCG'!$D$5:$N$215,7,0)*$H503</f>
        <v>114.03426319347206</v>
      </c>
      <c r="O503" s="384">
        <f>VLOOKUP($A503,'8.Non-elective admissions - CCG'!$D$5:$N$215,8,0)*$H503</f>
        <v>114.11317053739558</v>
      </c>
      <c r="P503" s="384">
        <f>VLOOKUP($A503,'8.Non-elective admissions - CCG'!$D$5:$N$215,9,0)*$H503</f>
        <v>114.08686808942107</v>
      </c>
      <c r="Q503" s="384">
        <f>VLOOKUP($A503,'8.Non-elective admissions - CCG'!$D$5:$N$215,10,0)*$H503</f>
        <v>114.11317053739558</v>
      </c>
      <c r="R503" s="384">
        <f>VLOOKUP($A503,'8.Non-elective admissions - CCG'!$D$5:$Q$215,11,0)*$H503</f>
        <v>115.85881140456762</v>
      </c>
      <c r="S503" s="384">
        <f>VLOOKUP($A503,'8.Non-elective admissions - CCG'!$D$5:$Q$215,12,0)*$H503</f>
        <v>115.9389812659939</v>
      </c>
      <c r="T503" s="384">
        <f>VLOOKUP($A503,'8.Non-elective admissions - CCG'!$D$5:$Q$215,13,0)*$H503</f>
        <v>115.9122579788518</v>
      </c>
      <c r="U503" s="384">
        <f>VLOOKUP($A503,'8.Non-elective admissions - CCG'!$D$5:$Q$215,14,0)*$H503</f>
        <v>115.9389812659939</v>
      </c>
    </row>
    <row r="504" spans="1:21">
      <c r="A504" s="395" t="s">
        <v>416</v>
      </c>
      <c r="B504" s="395" t="s">
        <v>415</v>
      </c>
      <c r="C504" s="395" t="s">
        <v>661</v>
      </c>
      <c r="D504" s="395" t="s">
        <v>64</v>
      </c>
      <c r="E504" s="537">
        <f>COUNTIF($D$5:D504,D504)</f>
        <v>2</v>
      </c>
      <c r="F504" s="537" t="str">
        <f t="shared" si="14"/>
        <v>Bracknell Forest2</v>
      </c>
      <c r="G504" s="541" t="str">
        <f t="shared" si="15"/>
        <v>NHS North East Hampshire and Farnham CCG</v>
      </c>
      <c r="H504" s="546">
        <v>5.6839075502449253E-3</v>
      </c>
      <c r="I504" s="546">
        <v>1.0484093820916271E-2</v>
      </c>
      <c r="J504" s="384">
        <f>VLOOKUP($A504,'8.Non-elective admissions - CCG'!$D$5:$N$215,3,0)*$H504</f>
        <v>25.46958973264751</v>
      </c>
      <c r="K504" s="384">
        <f>VLOOKUP($A504,'8.Non-elective admissions - CCG'!$D$5:$N$215,4,0)*$H504</f>
        <v>25.770836832810492</v>
      </c>
      <c r="L504" s="384">
        <f>VLOOKUP($A504,'8.Non-elective admissions - CCG'!$D$5:$N$215,5,0)*$H504</f>
        <v>26.560899982294536</v>
      </c>
      <c r="M504" s="384">
        <f>VLOOKUP($A504,'8.Non-elective admissions - CCG'!$D$5:$N$215,6,0)*$H504</f>
        <v>25.458221917547021</v>
      </c>
      <c r="N504" s="384">
        <f>VLOOKUP($A504,'8.Non-elective admissions - CCG'!$D$5:$N$215,7,0)*$H504</f>
        <v>24.310072592397546</v>
      </c>
      <c r="O504" s="384">
        <f>VLOOKUP($A504,'8.Non-elective admissions - CCG'!$D$5:$N$215,8,0)*$H504</f>
        <v>24.1395553658902</v>
      </c>
      <c r="P504" s="384">
        <f>VLOOKUP($A504,'8.Non-elective admissions - CCG'!$D$5:$N$215,9,0)*$H504</f>
        <v>25.196762170235754</v>
      </c>
      <c r="Q504" s="384">
        <f>VLOOKUP($A504,'8.Non-elective admissions - CCG'!$D$5:$N$215,10,0)*$H504</f>
        <v>24.753417381316648</v>
      </c>
      <c r="R504" s="384">
        <f>VLOOKUP($A504,'8.Non-elective admissions - CCG'!$D$5:$Q$215,11,0)*$H504</f>
        <v>23.156239359697825</v>
      </c>
      <c r="S504" s="384">
        <f>VLOOKUP($A504,'8.Non-elective admissions - CCG'!$D$5:$Q$215,12,0)*$H504</f>
        <v>23.002773855841212</v>
      </c>
      <c r="T504" s="384">
        <f>VLOOKUP($A504,'8.Non-elective admissions - CCG'!$D$5:$Q$215,13,0)*$H504</f>
        <v>24.031561122435544</v>
      </c>
      <c r="U504" s="384">
        <f>VLOOKUP($A504,'8.Non-elective admissions - CCG'!$D$5:$Q$215,14,0)*$H504</f>
        <v>23.900831248779912</v>
      </c>
    </row>
    <row r="505" spans="1:21">
      <c r="A505" s="395" t="s">
        <v>416</v>
      </c>
      <c r="B505" s="395" t="s">
        <v>415</v>
      </c>
      <c r="C505" s="395" t="s">
        <v>699</v>
      </c>
      <c r="D505" s="395" t="s">
        <v>205</v>
      </c>
      <c r="E505" s="537">
        <f>COUNTIF($D$5:D505,D505)</f>
        <v>8</v>
      </c>
      <c r="F505" s="537" t="str">
        <f t="shared" si="14"/>
        <v>Hampshire8</v>
      </c>
      <c r="G505" s="541" t="str">
        <f t="shared" si="15"/>
        <v>NHS North East Hampshire and Farnham CCG</v>
      </c>
      <c r="H505" s="546">
        <v>0.76365477071425647</v>
      </c>
      <c r="I505" s="546">
        <v>0.12389125681007507</v>
      </c>
      <c r="J505" s="384">
        <f>VLOOKUP($A505,'8.Non-elective admissions - CCG'!$D$5:$N$215,3,0)*$H505</f>
        <v>3421.9370275705833</v>
      </c>
      <c r="K505" s="384">
        <f>VLOOKUP($A505,'8.Non-elective admissions - CCG'!$D$5:$N$215,4,0)*$H505</f>
        <v>3462.410730418439</v>
      </c>
      <c r="L505" s="384">
        <f>VLOOKUP($A505,'8.Non-elective admissions - CCG'!$D$5:$N$215,5,0)*$H505</f>
        <v>3568.5587435477205</v>
      </c>
      <c r="M505" s="384">
        <f>VLOOKUP($A505,'8.Non-elective admissions - CCG'!$D$5:$N$215,6,0)*$H505</f>
        <v>3420.4097180291546</v>
      </c>
      <c r="N505" s="384">
        <f>VLOOKUP($A505,'8.Non-elective admissions - CCG'!$D$5:$N$215,7,0)*$H505</f>
        <v>3266.1514543448748</v>
      </c>
      <c r="O505" s="384">
        <f>VLOOKUP($A505,'8.Non-elective admissions - CCG'!$D$5:$N$215,8,0)*$H505</f>
        <v>3243.2418112234473</v>
      </c>
      <c r="P505" s="384">
        <f>VLOOKUP($A505,'8.Non-elective admissions - CCG'!$D$5:$N$215,9,0)*$H505</f>
        <v>3385.2815985762991</v>
      </c>
      <c r="Q505" s="384">
        <f>VLOOKUP($A505,'8.Non-elective admissions - CCG'!$D$5:$N$215,10,0)*$H505</f>
        <v>3325.7165264605869</v>
      </c>
      <c r="R505" s="384">
        <f>VLOOKUP($A505,'8.Non-elective admissions - CCG'!$D$5:$Q$215,11,0)*$H505</f>
        <v>3111.129535889881</v>
      </c>
      <c r="S505" s="384">
        <f>VLOOKUP($A505,'8.Non-elective admissions - CCG'!$D$5:$Q$215,12,0)*$H505</f>
        <v>3090.510857080596</v>
      </c>
      <c r="T505" s="384">
        <f>VLOOKUP($A505,'8.Non-elective admissions - CCG'!$D$5:$Q$215,13,0)*$H505</f>
        <v>3228.7323705798763</v>
      </c>
      <c r="U505" s="384">
        <f>VLOOKUP($A505,'8.Non-elective admissions - CCG'!$D$5:$Q$215,14,0)*$H505</f>
        <v>3211.1683108534485</v>
      </c>
    </row>
    <row r="506" spans="1:21">
      <c r="A506" s="395" t="s">
        <v>416</v>
      </c>
      <c r="B506" s="395" t="s">
        <v>415</v>
      </c>
      <c r="C506" s="395" t="s">
        <v>775</v>
      </c>
      <c r="D506" s="395" t="s">
        <v>441</v>
      </c>
      <c r="E506" s="537">
        <f>COUNTIF($D$5:D506,D506)</f>
        <v>12</v>
      </c>
      <c r="F506" s="537" t="str">
        <f t="shared" si="14"/>
        <v>Surrey12</v>
      </c>
      <c r="G506" s="541" t="str">
        <f t="shared" si="15"/>
        <v>NHS North East Hampshire and Farnham CCG</v>
      </c>
      <c r="H506" s="546">
        <v>0.2306613217354985</v>
      </c>
      <c r="I506" s="546">
        <v>4.1897630847633732E-2</v>
      </c>
      <c r="J506" s="384">
        <f>VLOOKUP($A506,'8.Non-elective admissions - CCG'!$D$5:$N$215,3,0)*$H506</f>
        <v>1033.5933826967687</v>
      </c>
      <c r="K506" s="384">
        <f>VLOOKUP($A506,'8.Non-elective admissions - CCG'!$D$5:$N$215,4,0)*$H506</f>
        <v>1045.8184327487502</v>
      </c>
      <c r="L506" s="384">
        <f>VLOOKUP($A506,'8.Non-elective admissions - CCG'!$D$5:$N$215,5,0)*$H506</f>
        <v>1077.8803564699845</v>
      </c>
      <c r="M506" s="384">
        <f>VLOOKUP($A506,'8.Non-elective admissions - CCG'!$D$5:$N$215,6,0)*$H506</f>
        <v>1033.1320600532977</v>
      </c>
      <c r="N506" s="384">
        <f>VLOOKUP($A506,'8.Non-elective admissions - CCG'!$D$5:$N$215,7,0)*$H506</f>
        <v>986.53847306272712</v>
      </c>
      <c r="O506" s="384">
        <f>VLOOKUP($A506,'8.Non-elective admissions - CCG'!$D$5:$N$215,8,0)*$H506</f>
        <v>979.61863341066214</v>
      </c>
      <c r="P506" s="384">
        <f>VLOOKUP($A506,'8.Non-elective admissions - CCG'!$D$5:$N$215,9,0)*$H506</f>
        <v>1022.5216392534649</v>
      </c>
      <c r="Q506" s="384">
        <f>VLOOKUP($A506,'8.Non-elective admissions - CCG'!$D$5:$N$215,10,0)*$H506</f>
        <v>1004.5300561580959</v>
      </c>
      <c r="R506" s="384">
        <f>VLOOKUP($A506,'8.Non-elective admissions - CCG'!$D$5:$Q$215,11,0)*$H506</f>
        <v>939.71422475042084</v>
      </c>
      <c r="S506" s="384">
        <f>VLOOKUP($A506,'8.Non-elective admissions - CCG'!$D$5:$Q$215,12,0)*$H506</f>
        <v>933.48636906356239</v>
      </c>
      <c r="T506" s="384">
        <f>VLOOKUP($A506,'8.Non-elective admissions - CCG'!$D$5:$Q$215,13,0)*$H506</f>
        <v>975.23606829768767</v>
      </c>
      <c r="U506" s="384">
        <f>VLOOKUP($A506,'8.Non-elective admissions - CCG'!$D$5:$Q$215,14,0)*$H506</f>
        <v>969.93085789777115</v>
      </c>
    </row>
    <row r="507" spans="1:21">
      <c r="A507" s="395" t="s">
        <v>419</v>
      </c>
      <c r="B507" s="395" t="s">
        <v>418</v>
      </c>
      <c r="C507" s="395" t="s">
        <v>723</v>
      </c>
      <c r="D507" s="395" t="s">
        <v>285</v>
      </c>
      <c r="E507" s="537">
        <f>COUNTIF($D$5:D507,D507)</f>
        <v>6</v>
      </c>
      <c r="F507" s="537" t="str">
        <f t="shared" si="14"/>
        <v>Lincolnshire6</v>
      </c>
      <c r="G507" s="541" t="str">
        <f t="shared" si="15"/>
        <v>NHS North East Lincolnshire CCG</v>
      </c>
      <c r="H507" s="546">
        <v>2.6350468954054376E-2</v>
      </c>
      <c r="I507" s="546">
        <v>5.9220145789086083E-3</v>
      </c>
      <c r="J507" s="384">
        <f>VLOOKUP($A507,'8.Non-elective admissions - CCG'!$D$5:$N$215,3,0)*$H507</f>
        <v>92.964454469903842</v>
      </c>
      <c r="K507" s="384">
        <f>VLOOKUP($A507,'8.Non-elective admissions - CCG'!$D$5:$N$215,4,0)*$H507</f>
        <v>95.652202303217379</v>
      </c>
      <c r="L507" s="384">
        <f>VLOOKUP($A507,'8.Non-elective admissions - CCG'!$D$5:$N$215,5,0)*$H507</f>
        <v>95.863006054849819</v>
      </c>
      <c r="M507" s="384">
        <f>VLOOKUP($A507,'8.Non-elective admissions - CCG'!$D$5:$N$215,6,0)*$H507</f>
        <v>99.710174522141756</v>
      </c>
      <c r="N507" s="384">
        <f>VLOOKUP($A507,'8.Non-elective admissions - CCG'!$D$5:$N$215,7,0)*$H507</f>
        <v>93.860370414341688</v>
      </c>
      <c r="O507" s="384">
        <f>VLOOKUP($A507,'8.Non-elective admissions - CCG'!$D$5:$N$215,8,0)*$H507</f>
        <v>95.494099489493053</v>
      </c>
      <c r="P507" s="384">
        <f>VLOOKUP($A507,'8.Non-elective admissions - CCG'!$D$5:$N$215,9,0)*$H507</f>
        <v>94.67723495191737</v>
      </c>
      <c r="Q507" s="384">
        <f>VLOOKUP($A507,'8.Non-elective admissions - CCG'!$D$5:$N$215,10,0)*$H507</f>
        <v>92.437445090822749</v>
      </c>
      <c r="R507" s="384">
        <f>VLOOKUP($A507,'8.Non-elective admissions - CCG'!$D$5:$Q$215,11,0)*$H507</f>
        <v>93.043505876766005</v>
      </c>
      <c r="S507" s="384">
        <f>VLOOKUP($A507,'8.Non-elective admissions - CCG'!$D$5:$Q$215,12,0)*$H507</f>
        <v>95.546800427401166</v>
      </c>
      <c r="T507" s="384">
        <f>VLOOKUP($A507,'8.Non-elective admissions - CCG'!$D$5:$Q$215,13,0)*$H507</f>
        <v>95.494099489493053</v>
      </c>
      <c r="U507" s="384">
        <f>VLOOKUP($A507,'8.Non-elective admissions - CCG'!$D$5:$Q$215,14,0)*$H507</f>
        <v>92.990804938857892</v>
      </c>
    </row>
    <row r="508" spans="1:21">
      <c r="A508" s="395" t="s">
        <v>419</v>
      </c>
      <c r="B508" s="395" t="s">
        <v>418</v>
      </c>
      <c r="C508" s="395" t="s">
        <v>734</v>
      </c>
      <c r="D508" s="395" t="s">
        <v>318</v>
      </c>
      <c r="E508" s="537">
        <f>COUNTIF($D$5:D508,D508)</f>
        <v>2</v>
      </c>
      <c r="F508" s="537" t="str">
        <f t="shared" si="14"/>
        <v>North East Lincolnshire2</v>
      </c>
      <c r="G508" s="541" t="str">
        <f t="shared" si="15"/>
        <v>NHS North East Lincolnshire CCG</v>
      </c>
      <c r="H508" s="546">
        <v>0.95977086548735613</v>
      </c>
      <c r="I508" s="546">
        <v>0.98670824662366274</v>
      </c>
      <c r="J508" s="384">
        <f>VLOOKUP($A508,'8.Non-elective admissions - CCG'!$D$5:$N$215,3,0)*$H508</f>
        <v>3386.0716134393924</v>
      </c>
      <c r="K508" s="384">
        <f>VLOOKUP($A508,'8.Non-elective admissions - CCG'!$D$5:$N$215,4,0)*$H508</f>
        <v>3483.9682417191029</v>
      </c>
      <c r="L508" s="384">
        <f>VLOOKUP($A508,'8.Non-elective admissions - CCG'!$D$5:$N$215,5,0)*$H508</f>
        <v>3491.6464086430015</v>
      </c>
      <c r="M508" s="384">
        <f>VLOOKUP($A508,'8.Non-elective admissions - CCG'!$D$5:$N$215,6,0)*$H508</f>
        <v>3631.7729550041554</v>
      </c>
      <c r="N508" s="384">
        <f>VLOOKUP($A508,'8.Non-elective admissions - CCG'!$D$5:$N$215,7,0)*$H508</f>
        <v>3418.7038228659626</v>
      </c>
      <c r="O508" s="384">
        <f>VLOOKUP($A508,'8.Non-elective admissions - CCG'!$D$5:$N$215,8,0)*$H508</f>
        <v>3478.2096165261787</v>
      </c>
      <c r="P508" s="384">
        <f>VLOOKUP($A508,'8.Non-elective admissions - CCG'!$D$5:$N$215,9,0)*$H508</f>
        <v>3448.4567196960706</v>
      </c>
      <c r="Q508" s="384">
        <f>VLOOKUP($A508,'8.Non-elective admissions - CCG'!$D$5:$N$215,10,0)*$H508</f>
        <v>3366.8761961296455</v>
      </c>
      <c r="R508" s="384">
        <f>VLOOKUP($A508,'8.Non-elective admissions - CCG'!$D$5:$Q$215,11,0)*$H508</f>
        <v>3388.9509260358545</v>
      </c>
      <c r="S508" s="384">
        <f>VLOOKUP($A508,'8.Non-elective admissions - CCG'!$D$5:$Q$215,12,0)*$H508</f>
        <v>3480.1291582571534</v>
      </c>
      <c r="T508" s="384">
        <f>VLOOKUP($A508,'8.Non-elective admissions - CCG'!$D$5:$Q$215,13,0)*$H508</f>
        <v>3478.2096165261787</v>
      </c>
      <c r="U508" s="384">
        <f>VLOOKUP($A508,'8.Non-elective admissions - CCG'!$D$5:$Q$215,14,0)*$H508</f>
        <v>3387.0313843048798</v>
      </c>
    </row>
    <row r="509" spans="1:21">
      <c r="A509" s="395" t="s">
        <v>419</v>
      </c>
      <c r="B509" s="395" t="s">
        <v>418</v>
      </c>
      <c r="C509" s="395" t="s">
        <v>735</v>
      </c>
      <c r="D509" s="395" t="s">
        <v>321</v>
      </c>
      <c r="E509" s="537">
        <f>COUNTIF($D$5:D509,D509)</f>
        <v>5</v>
      </c>
      <c r="F509" s="537" t="str">
        <f t="shared" si="14"/>
        <v>North Lincolnshire5</v>
      </c>
      <c r="G509" s="541" t="str">
        <f t="shared" si="15"/>
        <v>NHS North East Lincolnshire CCG</v>
      </c>
      <c r="H509" s="546">
        <v>1.3878665558589577E-2</v>
      </c>
      <c r="I509" s="546">
        <v>1.3697907817415913E-2</v>
      </c>
      <c r="J509" s="384">
        <f>VLOOKUP($A509,'8.Non-elective admissions - CCG'!$D$5:$N$215,3,0)*$H509</f>
        <v>48.963932090704027</v>
      </c>
      <c r="K509" s="384">
        <f>VLOOKUP($A509,'8.Non-elective admissions - CCG'!$D$5:$N$215,4,0)*$H509</f>
        <v>50.37955597768017</v>
      </c>
      <c r="L509" s="384">
        <f>VLOOKUP($A509,'8.Non-elective admissions - CCG'!$D$5:$N$215,5,0)*$H509</f>
        <v>50.49058530214888</v>
      </c>
      <c r="M509" s="384">
        <f>VLOOKUP($A509,'8.Non-elective admissions - CCG'!$D$5:$N$215,6,0)*$H509</f>
        <v>52.516870473702959</v>
      </c>
      <c r="N509" s="384">
        <f>VLOOKUP($A509,'8.Non-elective admissions - CCG'!$D$5:$N$215,7,0)*$H509</f>
        <v>49.435806719696075</v>
      </c>
      <c r="O509" s="384">
        <f>VLOOKUP($A509,'8.Non-elective admissions - CCG'!$D$5:$N$215,8,0)*$H509</f>
        <v>50.296283984328632</v>
      </c>
      <c r="P509" s="384">
        <f>VLOOKUP($A509,'8.Non-elective admissions - CCG'!$D$5:$N$215,9,0)*$H509</f>
        <v>49.86604535201235</v>
      </c>
      <c r="Q509" s="384">
        <f>VLOOKUP($A509,'8.Non-elective admissions - CCG'!$D$5:$N$215,10,0)*$H509</f>
        <v>48.686358779532235</v>
      </c>
      <c r="R509" s="384">
        <f>VLOOKUP($A509,'8.Non-elective admissions - CCG'!$D$5:$Q$215,11,0)*$H509</f>
        <v>49.0055680873798</v>
      </c>
      <c r="S509" s="384">
        <f>VLOOKUP($A509,'8.Non-elective admissions - CCG'!$D$5:$Q$215,12,0)*$H509</f>
        <v>50.324041315445811</v>
      </c>
      <c r="T509" s="384">
        <f>VLOOKUP($A509,'8.Non-elective admissions - CCG'!$D$5:$Q$215,13,0)*$H509</f>
        <v>50.296283984328632</v>
      </c>
      <c r="U509" s="384">
        <f>VLOOKUP($A509,'8.Non-elective admissions - CCG'!$D$5:$Q$215,14,0)*$H509</f>
        <v>48.97781075626262</v>
      </c>
    </row>
    <row r="510" spans="1:21">
      <c r="A510" s="395" t="s">
        <v>422</v>
      </c>
      <c r="B510" s="395" t="s">
        <v>421</v>
      </c>
      <c r="C510" s="395" t="s">
        <v>699</v>
      </c>
      <c r="D510" s="395" t="s">
        <v>205</v>
      </c>
      <c r="E510" s="537">
        <f>COUNTIF($D$5:D510,D510)</f>
        <v>9</v>
      </c>
      <c r="F510" s="537" t="str">
        <f t="shared" si="14"/>
        <v>Hampshire9</v>
      </c>
      <c r="G510" s="541" t="str">
        <f t="shared" si="15"/>
        <v>NHS North Hampshire CCG</v>
      </c>
      <c r="H510" s="546">
        <v>0.9914324330515657</v>
      </c>
      <c r="I510" s="546">
        <v>0.15937987716270752</v>
      </c>
      <c r="J510" s="384">
        <f>VLOOKUP($A510,'8.Non-elective admissions - CCG'!$D$5:$N$215,3,0)*$H510</f>
        <v>4531.8376514787069</v>
      </c>
      <c r="K510" s="384">
        <f>VLOOKUP($A510,'8.Non-elective admissions - CCG'!$D$5:$N$215,4,0)*$H510</f>
        <v>4521.9233271481908</v>
      </c>
      <c r="L510" s="384">
        <f>VLOOKUP($A510,'8.Non-elective admissions - CCG'!$D$5:$N$215,5,0)*$H510</f>
        <v>4436.6601379057565</v>
      </c>
      <c r="M510" s="384">
        <f>VLOOKUP($A510,'8.Non-elective admissions - CCG'!$D$5:$N$215,6,0)*$H510</f>
        <v>4481.2745973930769</v>
      </c>
      <c r="N510" s="384">
        <f>VLOOKUP($A510,'8.Non-elective admissions - CCG'!$D$5:$N$215,7,0)*$H510</f>
        <v>4235.3993539962885</v>
      </c>
      <c r="O510" s="384">
        <f>VLOOKUP($A510,'8.Non-elective admissions - CCG'!$D$5:$N$215,8,0)*$H510</f>
        <v>4239.3650837284949</v>
      </c>
      <c r="P510" s="384">
        <f>VLOOKUP($A510,'8.Non-elective admissions - CCG'!$D$5:$N$215,9,0)*$H510</f>
        <v>4405.9257324811579</v>
      </c>
      <c r="Q510" s="384">
        <f>VLOOKUP($A510,'8.Non-elective admissions - CCG'!$D$5:$N$215,10,0)*$H510</f>
        <v>4773.7471651432888</v>
      </c>
      <c r="R510" s="384">
        <f>VLOOKUP($A510,'8.Non-elective admissions - CCG'!$D$5:$Q$215,11,0)*$H510</f>
        <v>4138.2389755572349</v>
      </c>
      <c r="S510" s="384">
        <f>VLOOKUP($A510,'8.Non-elective admissions - CCG'!$D$5:$Q$215,12,0)*$H510</f>
        <v>4141.2132728563902</v>
      </c>
      <c r="T510" s="384">
        <f>VLOOKUP($A510,'8.Non-elective admissions - CCG'!$D$5:$Q$215,13,0)*$H510</f>
        <v>4297.859597278537</v>
      </c>
      <c r="U510" s="384">
        <f>VLOOKUP($A510,'8.Non-elective admissions - CCG'!$D$5:$Q$215,14,0)*$H510</f>
        <v>4694.4325704991634</v>
      </c>
    </row>
    <row r="511" spans="1:21">
      <c r="A511" s="395" t="s">
        <v>422</v>
      </c>
      <c r="B511" s="395" t="s">
        <v>421</v>
      </c>
      <c r="C511" s="395" t="s">
        <v>775</v>
      </c>
      <c r="D511" s="395" t="s">
        <v>441</v>
      </c>
      <c r="E511" s="537">
        <f>COUNTIF($D$5:D511,D511)</f>
        <v>13</v>
      </c>
      <c r="F511" s="537" t="str">
        <f t="shared" si="14"/>
        <v>Surrey13</v>
      </c>
      <c r="G511" s="541" t="str">
        <f t="shared" si="15"/>
        <v>NHS North Hampshire CCG</v>
      </c>
      <c r="H511" s="546">
        <v>1.2828442489634161E-3</v>
      </c>
      <c r="I511" s="546">
        <v>0</v>
      </c>
      <c r="J511" s="384">
        <f>VLOOKUP($A511,'8.Non-elective admissions - CCG'!$D$5:$N$215,3,0)*$H511</f>
        <v>5.8638810620117745</v>
      </c>
      <c r="K511" s="384">
        <f>VLOOKUP($A511,'8.Non-elective admissions - CCG'!$D$5:$N$215,4,0)*$H511</f>
        <v>5.8510526195221404</v>
      </c>
      <c r="L511" s="384">
        <f>VLOOKUP($A511,'8.Non-elective admissions - CCG'!$D$5:$N$215,5,0)*$H511</f>
        <v>5.7407280141112871</v>
      </c>
      <c r="M511" s="384">
        <f>VLOOKUP($A511,'8.Non-elective admissions - CCG'!$D$5:$N$215,6,0)*$H511</f>
        <v>5.798456005314641</v>
      </c>
      <c r="N511" s="384">
        <f>VLOOKUP($A511,'8.Non-elective admissions - CCG'!$D$5:$N$215,7,0)*$H511</f>
        <v>5.4803106315717134</v>
      </c>
      <c r="O511" s="384">
        <f>VLOOKUP($A511,'8.Non-elective admissions - CCG'!$D$5:$N$215,8,0)*$H511</f>
        <v>5.485442008567567</v>
      </c>
      <c r="P511" s="384">
        <f>VLOOKUP($A511,'8.Non-elective admissions - CCG'!$D$5:$N$215,9,0)*$H511</f>
        <v>5.7009598423934209</v>
      </c>
      <c r="Q511" s="384">
        <f>VLOOKUP($A511,'8.Non-elective admissions - CCG'!$D$5:$N$215,10,0)*$H511</f>
        <v>6.1768950587588485</v>
      </c>
      <c r="R511" s="384">
        <f>VLOOKUP($A511,'8.Non-elective admissions - CCG'!$D$5:$Q$215,11,0)*$H511</f>
        <v>5.3545918951732983</v>
      </c>
      <c r="S511" s="384">
        <f>VLOOKUP($A511,'8.Non-elective admissions - CCG'!$D$5:$Q$215,12,0)*$H511</f>
        <v>5.3584404279201889</v>
      </c>
      <c r="T511" s="384">
        <f>VLOOKUP($A511,'8.Non-elective admissions - CCG'!$D$5:$Q$215,13,0)*$H511</f>
        <v>5.5611298192564087</v>
      </c>
      <c r="U511" s="384">
        <f>VLOOKUP($A511,'8.Non-elective admissions - CCG'!$D$5:$Q$215,14,0)*$H511</f>
        <v>6.0742675188417747</v>
      </c>
    </row>
    <row r="512" spans="1:21">
      <c r="A512" s="395" t="s">
        <v>422</v>
      </c>
      <c r="B512" s="395" t="s">
        <v>421</v>
      </c>
      <c r="C512" s="395" t="s">
        <v>790</v>
      </c>
      <c r="D512" s="395" t="s">
        <v>486</v>
      </c>
      <c r="E512" s="537">
        <f>COUNTIF($D$5:D512,D512)</f>
        <v>3</v>
      </c>
      <c r="F512" s="537" t="str">
        <f t="shared" si="14"/>
        <v>West Berkshire3</v>
      </c>
      <c r="G512" s="541" t="str">
        <f t="shared" si="15"/>
        <v>NHS North Hampshire CCG</v>
      </c>
      <c r="H512" s="546">
        <v>7.2847226994708263E-3</v>
      </c>
      <c r="I512" s="546">
        <v>9.7375157698761684E-3</v>
      </c>
      <c r="J512" s="384">
        <f>VLOOKUP($A512,'8.Non-elective admissions - CCG'!$D$5:$N$215,3,0)*$H512</f>
        <v>33.298467459281149</v>
      </c>
      <c r="K512" s="384">
        <f>VLOOKUP($A512,'8.Non-elective admissions - CCG'!$D$5:$N$215,4,0)*$H512</f>
        <v>33.225620232286438</v>
      </c>
      <c r="L512" s="384">
        <f>VLOOKUP($A512,'8.Non-elective admissions - CCG'!$D$5:$N$215,5,0)*$H512</f>
        <v>32.599134080131947</v>
      </c>
      <c r="M512" s="384">
        <f>VLOOKUP($A512,'8.Non-elective admissions - CCG'!$D$5:$N$215,6,0)*$H512</f>
        <v>32.926946601608137</v>
      </c>
      <c r="N512" s="384">
        <f>VLOOKUP($A512,'8.Non-elective admissions - CCG'!$D$5:$N$215,7,0)*$H512</f>
        <v>31.120335372139369</v>
      </c>
      <c r="O512" s="384">
        <f>VLOOKUP($A512,'8.Non-elective admissions - CCG'!$D$5:$N$215,8,0)*$H512</f>
        <v>31.149474262937254</v>
      </c>
      <c r="P512" s="384">
        <f>VLOOKUP($A512,'8.Non-elective admissions - CCG'!$D$5:$N$215,9,0)*$H512</f>
        <v>32.373307676448356</v>
      </c>
      <c r="Q512" s="384">
        <f>VLOOKUP($A512,'8.Non-elective admissions - CCG'!$D$5:$N$215,10,0)*$H512</f>
        <v>35.075939797952032</v>
      </c>
      <c r="R512" s="384">
        <f>VLOOKUP($A512,'8.Non-elective admissions - CCG'!$D$5:$Q$215,11,0)*$H512</f>
        <v>30.40643254759123</v>
      </c>
      <c r="S512" s="384">
        <f>VLOOKUP($A512,'8.Non-elective admissions - CCG'!$D$5:$Q$215,12,0)*$H512</f>
        <v>30.428286715689641</v>
      </c>
      <c r="T512" s="384">
        <f>VLOOKUP($A512,'8.Non-elective admissions - CCG'!$D$5:$Q$215,13,0)*$H512</f>
        <v>31.579272902206032</v>
      </c>
      <c r="U512" s="384">
        <f>VLOOKUP($A512,'8.Non-elective admissions - CCG'!$D$5:$Q$215,14,0)*$H512</f>
        <v>34.493161981994362</v>
      </c>
    </row>
    <row r="513" spans="1:21">
      <c r="A513" s="395" t="s">
        <v>425</v>
      </c>
      <c r="B513" s="395" t="s">
        <v>424</v>
      </c>
      <c r="C513" s="395" t="s">
        <v>662</v>
      </c>
      <c r="D513" s="395" t="s">
        <v>68</v>
      </c>
      <c r="E513" s="537">
        <f>COUNTIF($D$5:D513,D513)</f>
        <v>7</v>
      </c>
      <c r="F513" s="537" t="str">
        <f t="shared" si="14"/>
        <v>Bradford7</v>
      </c>
      <c r="G513" s="541" t="str">
        <f t="shared" si="15"/>
        <v>NHS North Kirklees CCG</v>
      </c>
      <c r="H513" s="546">
        <v>1.0776376907763771E-3</v>
      </c>
      <c r="I513" s="546">
        <v>0</v>
      </c>
      <c r="J513" s="384">
        <f>VLOOKUP($A513,'8.Non-elective admissions - CCG'!$D$5:$N$215,3,0)*$H513</f>
        <v>5.7610510948905116</v>
      </c>
      <c r="K513" s="384">
        <f>VLOOKUP($A513,'8.Non-elective admissions - CCG'!$D$5:$N$215,4,0)*$H513</f>
        <v>5.6791506303915069</v>
      </c>
      <c r="L513" s="384">
        <f>VLOOKUP($A513,'8.Non-elective admissions - CCG'!$D$5:$N$215,5,0)*$H513</f>
        <v>5.9862773722627747</v>
      </c>
      <c r="M513" s="384">
        <f>VLOOKUP($A513,'8.Non-elective admissions - CCG'!$D$5:$N$215,6,0)*$H513</f>
        <v>5.6910046449900475</v>
      </c>
      <c r="N513" s="384">
        <f>VLOOKUP($A513,'8.Non-elective admissions - CCG'!$D$5:$N$215,7,0)*$H513</f>
        <v>5.6489767750497686</v>
      </c>
      <c r="O513" s="384">
        <f>VLOOKUP($A513,'8.Non-elective admissions - CCG'!$D$5:$N$215,8,0)*$H513</f>
        <v>5.5681539482415401</v>
      </c>
      <c r="P513" s="384">
        <f>VLOOKUP($A513,'8.Non-elective admissions - CCG'!$D$5:$N$215,9,0)*$H513</f>
        <v>5.8709701393497022</v>
      </c>
      <c r="Q513" s="384">
        <f>VLOOKUP($A513,'8.Non-elective admissions - CCG'!$D$5:$N$215,10,0)*$H513</f>
        <v>5.5142720637027214</v>
      </c>
      <c r="R513" s="384">
        <f>VLOOKUP($A513,'8.Non-elective admissions - CCG'!$D$5:$Q$215,11,0)*$H513</f>
        <v>5.5929396151293966</v>
      </c>
      <c r="S513" s="384">
        <f>VLOOKUP($A513,'8.Non-elective admissions - CCG'!$D$5:$Q$215,12,0)*$H513</f>
        <v>5.5131944260119452</v>
      </c>
      <c r="T513" s="384">
        <f>VLOOKUP($A513,'8.Non-elective admissions - CCG'!$D$5:$Q$215,13,0)*$H513</f>
        <v>5.8127777040477779</v>
      </c>
      <c r="U513" s="384">
        <f>VLOOKUP($A513,'8.Non-elective admissions - CCG'!$D$5:$Q$215,14,0)*$H513</f>
        <v>5.4593125414731265</v>
      </c>
    </row>
    <row r="514" spans="1:21">
      <c r="A514" s="395" t="s">
        <v>425</v>
      </c>
      <c r="B514" s="395" t="s">
        <v>424</v>
      </c>
      <c r="C514" s="395" t="s">
        <v>715</v>
      </c>
      <c r="D514" s="395" t="s">
        <v>261</v>
      </c>
      <c r="E514" s="537">
        <f>COUNTIF($D$5:D514,D514)</f>
        <v>6</v>
      </c>
      <c r="F514" s="537" t="str">
        <f t="shared" si="14"/>
        <v>Kirklees6</v>
      </c>
      <c r="G514" s="541" t="str">
        <f t="shared" si="15"/>
        <v>NHS North Kirklees CCG</v>
      </c>
      <c r="H514" s="546">
        <v>0.98987657597876588</v>
      </c>
      <c r="I514" s="546">
        <v>0.4248849879348412</v>
      </c>
      <c r="J514" s="384">
        <f>VLOOKUP($A514,'8.Non-elective admissions - CCG'!$D$5:$N$215,3,0)*$H514</f>
        <v>5291.8801751824822</v>
      </c>
      <c r="K514" s="384">
        <f>VLOOKUP($A514,'8.Non-elective admissions - CCG'!$D$5:$N$215,4,0)*$H514</f>
        <v>5216.6495554080966</v>
      </c>
      <c r="L514" s="384">
        <f>VLOOKUP($A514,'8.Non-elective admissions - CCG'!$D$5:$N$215,5,0)*$H514</f>
        <v>5498.7643795620443</v>
      </c>
      <c r="M514" s="384">
        <f>VLOOKUP($A514,'8.Non-elective admissions - CCG'!$D$5:$N$215,6,0)*$H514</f>
        <v>5227.5381977438628</v>
      </c>
      <c r="N514" s="384">
        <f>VLOOKUP($A514,'8.Non-elective admissions - CCG'!$D$5:$N$215,7,0)*$H514</f>
        <v>5188.9330112806911</v>
      </c>
      <c r="O514" s="384">
        <f>VLOOKUP($A514,'8.Non-elective admissions - CCG'!$D$5:$N$215,8,0)*$H514</f>
        <v>5114.6922680822836</v>
      </c>
      <c r="P514" s="384">
        <f>VLOOKUP($A514,'8.Non-elective admissions - CCG'!$D$5:$N$215,9,0)*$H514</f>
        <v>5392.8475859323162</v>
      </c>
      <c r="Q514" s="384">
        <f>VLOOKUP($A514,'8.Non-elective admissions - CCG'!$D$5:$N$215,10,0)*$H514</f>
        <v>5065.1984392833447</v>
      </c>
      <c r="R514" s="384">
        <f>VLOOKUP($A514,'8.Non-elective admissions - CCG'!$D$5:$Q$215,11,0)*$H514</f>
        <v>5137.4594293297951</v>
      </c>
      <c r="S514" s="384">
        <f>VLOOKUP($A514,'8.Non-elective admissions - CCG'!$D$5:$Q$215,12,0)*$H514</f>
        <v>5064.2085627073666</v>
      </c>
      <c r="T514" s="384">
        <f>VLOOKUP($A514,'8.Non-elective admissions - CCG'!$D$5:$Q$215,13,0)*$H514</f>
        <v>5339.3942508294631</v>
      </c>
      <c r="U514" s="384">
        <f>VLOOKUP($A514,'8.Non-elective admissions - CCG'!$D$5:$Q$215,14,0)*$H514</f>
        <v>5014.7147339084277</v>
      </c>
    </row>
    <row r="515" spans="1:21">
      <c r="A515" s="395" t="s">
        <v>425</v>
      </c>
      <c r="B515" s="395" t="s">
        <v>424</v>
      </c>
      <c r="C515" s="395" t="s">
        <v>719</v>
      </c>
      <c r="D515" s="395" t="s">
        <v>273</v>
      </c>
      <c r="E515" s="537">
        <f>COUNTIF($D$5:D515,D515)</f>
        <v>6</v>
      </c>
      <c r="F515" s="537" t="str">
        <f t="shared" si="14"/>
        <v>Leeds6</v>
      </c>
      <c r="G515" s="541" t="str">
        <f t="shared" si="15"/>
        <v>NHS North Kirklees CCG</v>
      </c>
      <c r="H515" s="546">
        <v>2.8453881884538818E-3</v>
      </c>
      <c r="I515" s="546">
        <v>0</v>
      </c>
      <c r="J515" s="384">
        <f>VLOOKUP($A515,'8.Non-elective admissions - CCG'!$D$5:$N$215,3,0)*$H515</f>
        <v>15.211445255474452</v>
      </c>
      <c r="K515" s="384">
        <f>VLOOKUP($A515,'8.Non-elective admissions - CCG'!$D$5:$N$215,4,0)*$H515</f>
        <v>14.995195753151958</v>
      </c>
      <c r="L515" s="384">
        <f>VLOOKUP($A515,'8.Non-elective admissions - CCG'!$D$5:$N$215,5,0)*$H515</f>
        <v>15.806131386861313</v>
      </c>
      <c r="M515" s="384">
        <f>VLOOKUP($A515,'8.Non-elective admissions - CCG'!$D$5:$N$215,6,0)*$H515</f>
        <v>15.02649502322495</v>
      </c>
      <c r="N515" s="384">
        <f>VLOOKUP($A515,'8.Non-elective admissions - CCG'!$D$5:$N$215,7,0)*$H515</f>
        <v>14.915524883875248</v>
      </c>
      <c r="O515" s="384">
        <f>VLOOKUP($A515,'8.Non-elective admissions - CCG'!$D$5:$N$215,8,0)*$H515</f>
        <v>14.702120769741207</v>
      </c>
      <c r="P515" s="384">
        <f>VLOOKUP($A515,'8.Non-elective admissions - CCG'!$D$5:$N$215,9,0)*$H515</f>
        <v>15.501674850696748</v>
      </c>
      <c r="Q515" s="384">
        <f>VLOOKUP($A515,'8.Non-elective admissions - CCG'!$D$5:$N$215,10,0)*$H515</f>
        <v>14.559851360318513</v>
      </c>
      <c r="R515" s="384">
        <f>VLOOKUP($A515,'8.Non-elective admissions - CCG'!$D$5:$Q$215,11,0)*$H515</f>
        <v>14.767564698075645</v>
      </c>
      <c r="S515" s="384">
        <f>VLOOKUP($A515,'8.Non-elective admissions - CCG'!$D$5:$Q$215,12,0)*$H515</f>
        <v>14.557005972130058</v>
      </c>
      <c r="T515" s="384">
        <f>VLOOKUP($A515,'8.Non-elective admissions - CCG'!$D$5:$Q$215,13,0)*$H515</f>
        <v>15.348023888520238</v>
      </c>
      <c r="U515" s="384">
        <f>VLOOKUP($A515,'8.Non-elective admissions - CCG'!$D$5:$Q$215,14,0)*$H515</f>
        <v>14.414736562707365</v>
      </c>
    </row>
    <row r="516" spans="1:21">
      <c r="A516" s="395" t="s">
        <v>425</v>
      </c>
      <c r="B516" s="395" t="s">
        <v>424</v>
      </c>
      <c r="C516" s="395" t="s">
        <v>784</v>
      </c>
      <c r="D516" s="395" t="s">
        <v>468</v>
      </c>
      <c r="E516" s="537">
        <f>COUNTIF($D$5:D516,D516)</f>
        <v>4</v>
      </c>
      <c r="F516" s="537" t="str">
        <f t="shared" si="14"/>
        <v>Wakefield4</v>
      </c>
      <c r="G516" s="541" t="str">
        <f t="shared" si="15"/>
        <v>NHS North Kirklees CCG</v>
      </c>
      <c r="H516" s="546">
        <v>6.2003981420039817E-3</v>
      </c>
      <c r="I516" s="546">
        <v>3.3724475653700448E-3</v>
      </c>
      <c r="J516" s="384">
        <f>VLOOKUP($A516,'8.Non-elective admissions - CCG'!$D$5:$N$215,3,0)*$H516</f>
        <v>33.147328467153287</v>
      </c>
      <c r="K516" s="384">
        <f>VLOOKUP($A516,'8.Non-elective admissions - CCG'!$D$5:$N$215,4,0)*$H516</f>
        <v>32.676098208360983</v>
      </c>
      <c r="L516" s="384">
        <f>VLOOKUP($A516,'8.Non-elective admissions - CCG'!$D$5:$N$215,5,0)*$H516</f>
        <v>34.443211678832121</v>
      </c>
      <c r="M516" s="384">
        <f>VLOOKUP($A516,'8.Non-elective admissions - CCG'!$D$5:$N$215,6,0)*$H516</f>
        <v>32.744302587923031</v>
      </c>
      <c r="N516" s="384">
        <f>VLOOKUP($A516,'8.Non-elective admissions - CCG'!$D$5:$N$215,7,0)*$H516</f>
        <v>32.502487060384873</v>
      </c>
      <c r="O516" s="384">
        <f>VLOOKUP($A516,'8.Non-elective admissions - CCG'!$D$5:$N$215,8,0)*$H516</f>
        <v>32.037457199734575</v>
      </c>
      <c r="P516" s="384">
        <f>VLOOKUP($A516,'8.Non-elective admissions - CCG'!$D$5:$N$215,9,0)*$H516</f>
        <v>33.779769077637695</v>
      </c>
      <c r="Q516" s="384">
        <f>VLOOKUP($A516,'8.Non-elective admissions - CCG'!$D$5:$N$215,10,0)*$H516</f>
        <v>31.727437292634374</v>
      </c>
      <c r="R516" s="384">
        <f>VLOOKUP($A516,'8.Non-elective admissions - CCG'!$D$5:$Q$215,11,0)*$H516</f>
        <v>32.180066357000662</v>
      </c>
      <c r="S516" s="384">
        <f>VLOOKUP($A516,'8.Non-elective admissions - CCG'!$D$5:$Q$215,12,0)*$H516</f>
        <v>31.721236894492371</v>
      </c>
      <c r="T516" s="384">
        <f>VLOOKUP($A516,'8.Non-elective admissions - CCG'!$D$5:$Q$215,13,0)*$H516</f>
        <v>33.444947577969479</v>
      </c>
      <c r="U516" s="384">
        <f>VLOOKUP($A516,'8.Non-elective admissions - CCG'!$D$5:$Q$215,14,0)*$H516</f>
        <v>31.411216987392173</v>
      </c>
    </row>
    <row r="517" spans="1:21">
      <c r="A517" s="395" t="s">
        <v>428</v>
      </c>
      <c r="B517" s="395" t="s">
        <v>427</v>
      </c>
      <c r="C517" s="395" t="s">
        <v>723</v>
      </c>
      <c r="D517" s="395" t="s">
        <v>285</v>
      </c>
      <c r="E517" s="537">
        <f>COUNTIF($D$5:D517,D517)</f>
        <v>7</v>
      </c>
      <c r="F517" s="537" t="str">
        <f t="shared" ref="F517:F580" si="16">D517&amp;E517</f>
        <v>Lincolnshire7</v>
      </c>
      <c r="G517" s="541" t="str">
        <f t="shared" ref="G517:G580" si="17">B517</f>
        <v>NHS North Lincolnshire CCG</v>
      </c>
      <c r="H517" s="546">
        <v>2.6550753260799285E-2</v>
      </c>
      <c r="I517" s="546">
        <v>6.0260734068326612E-3</v>
      </c>
      <c r="J517" s="384">
        <f>VLOOKUP($A517,'8.Non-elective admissions - CCG'!$D$5:$N$215,3,0)*$H517</f>
        <v>115.62853045078089</v>
      </c>
      <c r="K517" s="384">
        <f>VLOOKUP($A517,'8.Non-elective admissions - CCG'!$D$5:$N$215,4,0)*$H517</f>
        <v>118.6287655692512</v>
      </c>
      <c r="L517" s="384">
        <f>VLOOKUP($A517,'8.Non-elective admissions - CCG'!$D$5:$N$215,5,0)*$H517</f>
        <v>123.64685793554227</v>
      </c>
      <c r="M517" s="384">
        <f>VLOOKUP($A517,'8.Non-elective admissions - CCG'!$D$5:$N$215,6,0)*$H517</f>
        <v>123.83271320836786</v>
      </c>
      <c r="N517" s="384">
        <f>VLOOKUP($A517,'8.Non-elective admissions - CCG'!$D$5:$N$215,7,0)*$H517</f>
        <v>110.00877510068045</v>
      </c>
      <c r="O517" s="384">
        <f>VLOOKUP($A517,'8.Non-elective admissions - CCG'!$D$5:$N$215,8,0)*$H517</f>
        <v>111.2334181306254</v>
      </c>
      <c r="P517" s="384">
        <f>VLOOKUP($A517,'8.Non-elective admissions - CCG'!$D$5:$N$215,9,0)*$H517</f>
        <v>111.2334181306254</v>
      </c>
      <c r="Q517" s="384">
        <f>VLOOKUP($A517,'8.Non-elective admissions - CCG'!$D$5:$N$215,10,0)*$H517</f>
        <v>108.8106828213147</v>
      </c>
      <c r="R517" s="384">
        <f>VLOOKUP($A517,'8.Non-elective admissions - CCG'!$D$5:$Q$215,11,0)*$H517</f>
        <v>93.862141719629562</v>
      </c>
      <c r="S517" s="384">
        <f>VLOOKUP($A517,'8.Non-elective admissions - CCG'!$D$5:$Q$215,12,0)*$H517</f>
        <v>94.909349218115921</v>
      </c>
      <c r="T517" s="384">
        <f>VLOOKUP($A517,'8.Non-elective admissions - CCG'!$D$5:$Q$215,13,0)*$H517</f>
        <v>94.909349218115906</v>
      </c>
      <c r="U517" s="384">
        <f>VLOOKUP($A517,'8.Non-elective admissions - CCG'!$D$5:$Q$215,14,0)*$H517</f>
        <v>92.971055711910623</v>
      </c>
    </row>
    <row r="518" spans="1:21">
      <c r="A518" s="395" t="s">
        <v>428</v>
      </c>
      <c r="B518" s="395" t="s">
        <v>427</v>
      </c>
      <c r="C518" s="395" t="s">
        <v>734</v>
      </c>
      <c r="D518" s="395" t="s">
        <v>318</v>
      </c>
      <c r="E518" s="537">
        <f>COUNTIF($D$5:D518,D518)</f>
        <v>3</v>
      </c>
      <c r="F518" s="537" t="str">
        <f t="shared" si="16"/>
        <v>North East Lincolnshire3</v>
      </c>
      <c r="G518" s="541" t="str">
        <f t="shared" si="17"/>
        <v>NHS North Lincolnshire CCG</v>
      </c>
      <c r="H518" s="546">
        <v>1.252005854449911E-3</v>
      </c>
      <c r="I518" s="546">
        <v>1.2998822172451041E-3</v>
      </c>
      <c r="J518" s="384">
        <f>VLOOKUP($A518,'8.Non-elective admissions - CCG'!$D$5:$N$215,3,0)*$H518</f>
        <v>5.4524854961293627</v>
      </c>
      <c r="K518" s="384">
        <f>VLOOKUP($A518,'8.Non-elective admissions - CCG'!$D$5:$N$215,4,0)*$H518</f>
        <v>5.5939621576822027</v>
      </c>
      <c r="L518" s="384">
        <f>VLOOKUP($A518,'8.Non-elective admissions - CCG'!$D$5:$N$215,5,0)*$H518</f>
        <v>5.8305912641732354</v>
      </c>
      <c r="M518" s="384">
        <f>VLOOKUP($A518,'8.Non-elective admissions - CCG'!$D$5:$N$215,6,0)*$H518</f>
        <v>5.8393553051543847</v>
      </c>
      <c r="N518" s="384">
        <f>VLOOKUP($A518,'8.Non-elective admissions - CCG'!$D$5:$N$215,7,0)*$H518</f>
        <v>5.1874848564190694</v>
      </c>
      <c r="O518" s="384">
        <f>VLOOKUP($A518,'8.Non-elective admissions - CCG'!$D$5:$N$215,8,0)*$H518</f>
        <v>5.2452331330137731</v>
      </c>
      <c r="P518" s="384">
        <f>VLOOKUP($A518,'8.Non-elective admissions - CCG'!$D$5:$N$215,9,0)*$H518</f>
        <v>5.2452331330137731</v>
      </c>
      <c r="Q518" s="384">
        <f>VLOOKUP($A518,'8.Non-elective admissions - CCG'!$D$5:$N$215,10,0)*$H518</f>
        <v>5.1309885855523651</v>
      </c>
      <c r="R518" s="384">
        <f>VLOOKUP($A518,'8.Non-elective admissions - CCG'!$D$5:$Q$215,11,0)*$H518</f>
        <v>4.4260872672749834</v>
      </c>
      <c r="S518" s="384">
        <f>VLOOKUP($A518,'8.Non-elective admissions - CCG'!$D$5:$Q$215,12,0)*$H518</f>
        <v>4.4754685374050682</v>
      </c>
      <c r="T518" s="384">
        <f>VLOOKUP($A518,'8.Non-elective admissions - CCG'!$D$5:$Q$215,13,0)*$H518</f>
        <v>4.4754685374050682</v>
      </c>
      <c r="U518" s="384">
        <f>VLOOKUP($A518,'8.Non-elective admissions - CCG'!$D$5:$Q$215,14,0)*$H518</f>
        <v>4.384067935939111</v>
      </c>
    </row>
    <row r="519" spans="1:21">
      <c r="A519" s="395" t="s">
        <v>428</v>
      </c>
      <c r="B519" s="395" t="s">
        <v>427</v>
      </c>
      <c r="C519" s="395" t="s">
        <v>735</v>
      </c>
      <c r="D519" s="395" t="s">
        <v>321</v>
      </c>
      <c r="E519" s="537">
        <f>COUNTIF($D$5:D519,D519)</f>
        <v>6</v>
      </c>
      <c r="F519" s="537" t="str">
        <f t="shared" si="16"/>
        <v>North Lincolnshire6</v>
      </c>
      <c r="G519" s="541" t="str">
        <f t="shared" si="17"/>
        <v>NHS North Lincolnshire CCG</v>
      </c>
      <c r="H519" s="546">
        <v>0.97219724088475079</v>
      </c>
      <c r="I519" s="546">
        <v>0.96903030764633868</v>
      </c>
      <c r="J519" s="384">
        <f>VLOOKUP($A519,'8.Non-elective admissions - CCG'!$D$5:$N$215,3,0)*$H519</f>
        <v>4233.9189840530898</v>
      </c>
      <c r="K519" s="384">
        <f>VLOOKUP($A519,'8.Non-elective admissions - CCG'!$D$5:$N$215,4,0)*$H519</f>
        <v>4343.777272273067</v>
      </c>
      <c r="L519" s="384">
        <f>VLOOKUP($A519,'8.Non-elective admissions - CCG'!$D$5:$N$215,5,0)*$H519</f>
        <v>4527.5225508002841</v>
      </c>
      <c r="M519" s="384">
        <f>VLOOKUP($A519,'8.Non-elective admissions - CCG'!$D$5:$N$215,6,0)*$H519</f>
        <v>4534.3279314864776</v>
      </c>
      <c r="N519" s="384">
        <f>VLOOKUP($A519,'8.Non-elective admissions - CCG'!$D$5:$N$215,7,0)*$H519</f>
        <v>4028.1428769819004</v>
      </c>
      <c r="O519" s="384">
        <f>VLOOKUP($A519,'8.Non-elective admissions - CCG'!$D$5:$N$215,8,0)*$H519</f>
        <v>4072.9850915543611</v>
      </c>
      <c r="P519" s="384">
        <f>VLOOKUP($A519,'8.Non-elective admissions - CCG'!$D$5:$N$215,9,0)*$H519</f>
        <v>4072.9850915543611</v>
      </c>
      <c r="Q519" s="384">
        <f>VLOOKUP($A519,'8.Non-elective admissions - CCG'!$D$5:$N$215,10,0)*$H519</f>
        <v>3984.2728595521335</v>
      </c>
      <c r="R519" s="384">
        <f>VLOOKUP($A519,'8.Non-elective admissions - CCG'!$D$5:$Q$215,11,0)*$H519</f>
        <v>3436.9087124200955</v>
      </c>
      <c r="S519" s="384">
        <f>VLOOKUP($A519,'8.Non-elective admissions - CCG'!$D$5:$Q$215,12,0)*$H519</f>
        <v>3475.253848268479</v>
      </c>
      <c r="T519" s="384">
        <f>VLOOKUP($A519,'8.Non-elective admissions - CCG'!$D$5:$Q$215,13,0)*$H519</f>
        <v>3475.2538482684786</v>
      </c>
      <c r="U519" s="384">
        <f>VLOOKUP($A519,'8.Non-elective admissions - CCG'!$D$5:$Q$215,14,0)*$H519</f>
        <v>3404.2802084531504</v>
      </c>
    </row>
    <row r="520" spans="1:21">
      <c r="A520" s="395" t="s">
        <v>431</v>
      </c>
      <c r="B520" s="395" t="s">
        <v>430</v>
      </c>
      <c r="C520" s="395" t="s">
        <v>668</v>
      </c>
      <c r="D520" s="395" t="s">
        <v>90</v>
      </c>
      <c r="E520" s="537">
        <f>COUNTIF($D$5:D520,D520)</f>
        <v>5</v>
      </c>
      <c r="F520" s="537" t="str">
        <f t="shared" si="16"/>
        <v>Bury5</v>
      </c>
      <c r="G520" s="541" t="str">
        <f t="shared" si="17"/>
        <v>NHS North Manchester CCG</v>
      </c>
      <c r="H520" s="546">
        <v>2.0096458928562339E-2</v>
      </c>
      <c r="I520" s="546">
        <v>1.9955093454162961E-2</v>
      </c>
      <c r="J520" s="384">
        <f>VLOOKUP($A520,'8.Non-elective admissions - CCG'!$D$5:$N$215,3,0)*$H520</f>
        <v>122.68888175887308</v>
      </c>
      <c r="K520" s="384">
        <f>VLOOKUP($A520,'8.Non-elective admissions - CCG'!$D$5:$N$215,4,0)*$H520</f>
        <v>123.11090739637289</v>
      </c>
      <c r="L520" s="384">
        <f>VLOOKUP($A520,'8.Non-elective admissions - CCG'!$D$5:$N$215,5,0)*$H520</f>
        <v>128.37617963565623</v>
      </c>
      <c r="M520" s="384">
        <f>VLOOKUP($A520,'8.Non-elective admissions - CCG'!$D$5:$N$215,6,0)*$H520</f>
        <v>128.2355044231563</v>
      </c>
      <c r="N520" s="384">
        <f>VLOOKUP($A520,'8.Non-elective admissions - CCG'!$D$5:$N$215,7,0)*$H520</f>
        <v>118.70978289101774</v>
      </c>
      <c r="O520" s="384">
        <f>VLOOKUP($A520,'8.Non-elective admissions - CCG'!$D$5:$N$215,8,0)*$H520</f>
        <v>119.67441291958873</v>
      </c>
      <c r="P520" s="384">
        <f>VLOOKUP($A520,'8.Non-elective admissions - CCG'!$D$5:$N$215,9,0)*$H520</f>
        <v>125.06026391244343</v>
      </c>
      <c r="Q520" s="384">
        <f>VLOOKUP($A520,'8.Non-elective admissions - CCG'!$D$5:$N$215,10,0)*$H520</f>
        <v>123.03052156065864</v>
      </c>
      <c r="R520" s="384">
        <f>VLOOKUP($A520,'8.Non-elective admissions - CCG'!$D$5:$Q$215,11,0)*$H520</f>
        <v>115.49434946244776</v>
      </c>
      <c r="S520" s="384">
        <f>VLOOKUP($A520,'8.Non-elective admissions - CCG'!$D$5:$Q$215,12,0)*$H520</f>
        <v>116.53936532673301</v>
      </c>
      <c r="T520" s="384">
        <f>VLOOKUP($A520,'8.Non-elective admissions - CCG'!$D$5:$Q$215,13,0)*$H520</f>
        <v>121.80463756601634</v>
      </c>
      <c r="U520" s="384">
        <f>VLOOKUP($A520,'8.Non-elective admissions - CCG'!$D$5:$Q$215,14,0)*$H520</f>
        <v>119.71460583744586</v>
      </c>
    </row>
    <row r="521" spans="1:21">
      <c r="A521" s="395" t="s">
        <v>431</v>
      </c>
      <c r="B521" s="395" t="s">
        <v>430</v>
      </c>
      <c r="C521" s="395" t="s">
        <v>726</v>
      </c>
      <c r="D521" s="395" t="s">
        <v>294</v>
      </c>
      <c r="E521" s="537">
        <f>COUNTIF($D$5:D521,D521)</f>
        <v>4</v>
      </c>
      <c r="F521" s="537" t="str">
        <f t="shared" si="16"/>
        <v>Manchester4</v>
      </c>
      <c r="G521" s="541" t="str">
        <f t="shared" si="17"/>
        <v>NHS North Manchester CCG</v>
      </c>
      <c r="H521" s="546">
        <v>0.84835984171364853</v>
      </c>
      <c r="I521" s="546">
        <v>0.30102843883671293</v>
      </c>
      <c r="J521" s="384">
        <f>VLOOKUP($A521,'8.Non-elective admissions - CCG'!$D$5:$N$215,3,0)*$H521</f>
        <v>5179.2368336618247</v>
      </c>
      <c r="K521" s="384">
        <f>VLOOKUP($A521,'8.Non-elective admissions - CCG'!$D$5:$N$215,4,0)*$H521</f>
        <v>5197.0523903378107</v>
      </c>
      <c r="L521" s="384">
        <f>VLOOKUP($A521,'8.Non-elective admissions - CCG'!$D$5:$N$215,5,0)*$H521</f>
        <v>5419.3226688667864</v>
      </c>
      <c r="M521" s="384">
        <f>VLOOKUP($A521,'8.Non-elective admissions - CCG'!$D$5:$N$215,6,0)*$H521</f>
        <v>5413.3841499747914</v>
      </c>
      <c r="N521" s="384">
        <f>VLOOKUP($A521,'8.Non-elective admissions - CCG'!$D$5:$N$215,7,0)*$H521</f>
        <v>5011.2615850025222</v>
      </c>
      <c r="O521" s="384">
        <f>VLOOKUP($A521,'8.Non-elective admissions - CCG'!$D$5:$N$215,8,0)*$H521</f>
        <v>5051.982857404777</v>
      </c>
      <c r="P521" s="384">
        <f>VLOOKUP($A521,'8.Non-elective admissions - CCG'!$D$5:$N$215,9,0)*$H521</f>
        <v>5279.3432949840344</v>
      </c>
      <c r="Q521" s="384">
        <f>VLOOKUP($A521,'8.Non-elective admissions - CCG'!$D$5:$N$215,10,0)*$H521</f>
        <v>5193.6589509709565</v>
      </c>
      <c r="R521" s="384">
        <f>VLOOKUP($A521,'8.Non-elective admissions - CCG'!$D$5:$Q$215,11,0)*$H521</f>
        <v>4875.5240103283377</v>
      </c>
      <c r="S521" s="384">
        <f>VLOOKUP($A521,'8.Non-elective admissions - CCG'!$D$5:$Q$215,12,0)*$H521</f>
        <v>4919.6387220974475</v>
      </c>
      <c r="T521" s="384">
        <f>VLOOKUP($A521,'8.Non-elective admissions - CCG'!$D$5:$Q$215,13,0)*$H521</f>
        <v>5141.9090006264241</v>
      </c>
      <c r="U521" s="384">
        <f>VLOOKUP($A521,'8.Non-elective admissions - CCG'!$D$5:$Q$215,14,0)*$H521</f>
        <v>5053.6795770882045</v>
      </c>
    </row>
    <row r="522" spans="1:21">
      <c r="A522" s="395" t="s">
        <v>431</v>
      </c>
      <c r="B522" s="395" t="s">
        <v>430</v>
      </c>
      <c r="C522" s="395" t="s">
        <v>743</v>
      </c>
      <c r="D522" s="395" t="s">
        <v>345</v>
      </c>
      <c r="E522" s="537">
        <f>COUNTIF($D$5:D522,D522)</f>
        <v>2</v>
      </c>
      <c r="F522" s="537" t="str">
        <f t="shared" si="16"/>
        <v>Oldham2</v>
      </c>
      <c r="G522" s="541" t="str">
        <f t="shared" si="17"/>
        <v>NHS North Manchester CCG</v>
      </c>
      <c r="H522" s="546">
        <v>2.6600051947258258E-2</v>
      </c>
      <c r="I522" s="546">
        <v>2.1798103569162966E-2</v>
      </c>
      <c r="J522" s="384">
        <f>VLOOKUP($A522,'8.Non-elective admissions - CCG'!$D$5:$N$215,3,0)*$H522</f>
        <v>162.39331713801167</v>
      </c>
      <c r="K522" s="384">
        <f>VLOOKUP($A522,'8.Non-elective admissions - CCG'!$D$5:$N$215,4,0)*$H522</f>
        <v>162.95191822890408</v>
      </c>
      <c r="L522" s="384">
        <f>VLOOKUP($A522,'8.Non-elective admissions - CCG'!$D$5:$N$215,5,0)*$H522</f>
        <v>169.92113183908575</v>
      </c>
      <c r="M522" s="384">
        <f>VLOOKUP($A522,'8.Non-elective admissions - CCG'!$D$5:$N$215,6,0)*$H522</f>
        <v>169.73493147545494</v>
      </c>
      <c r="N522" s="384">
        <f>VLOOKUP($A522,'8.Non-elective admissions - CCG'!$D$5:$N$215,7,0)*$H522</f>
        <v>157.12650685245453</v>
      </c>
      <c r="O522" s="384">
        <f>VLOOKUP($A522,'8.Non-elective admissions - CCG'!$D$5:$N$215,8,0)*$H522</f>
        <v>158.40330934592293</v>
      </c>
      <c r="P522" s="384">
        <f>VLOOKUP($A522,'8.Non-elective admissions - CCG'!$D$5:$N$215,9,0)*$H522</f>
        <v>165.53212326778814</v>
      </c>
      <c r="Q522" s="384">
        <f>VLOOKUP($A522,'8.Non-elective admissions - CCG'!$D$5:$N$215,10,0)*$H522</f>
        <v>162.84551802111505</v>
      </c>
      <c r="R522" s="384">
        <f>VLOOKUP($A522,'8.Non-elective admissions - CCG'!$D$5:$Q$215,11,0)*$H522</f>
        <v>152.87049854089321</v>
      </c>
      <c r="S522" s="384">
        <f>VLOOKUP($A522,'8.Non-elective admissions - CCG'!$D$5:$Q$215,12,0)*$H522</f>
        <v>154.25370124215064</v>
      </c>
      <c r="T522" s="384">
        <f>VLOOKUP($A522,'8.Non-elective admissions - CCG'!$D$5:$Q$215,13,0)*$H522</f>
        <v>161.22291485233231</v>
      </c>
      <c r="U522" s="384">
        <f>VLOOKUP($A522,'8.Non-elective admissions - CCG'!$D$5:$Q$215,14,0)*$H522</f>
        <v>158.45650944981745</v>
      </c>
    </row>
    <row r="523" spans="1:21">
      <c r="A523" s="395" t="s">
        <v>431</v>
      </c>
      <c r="B523" s="395" t="s">
        <v>430</v>
      </c>
      <c r="C523" s="395" t="s">
        <v>752</v>
      </c>
      <c r="D523" s="395" t="s">
        <v>372</v>
      </c>
      <c r="E523" s="537">
        <f>COUNTIF($D$5:D523,D523)</f>
        <v>4</v>
      </c>
      <c r="F523" s="537" t="str">
        <f t="shared" si="16"/>
        <v>Rochdale4</v>
      </c>
      <c r="G523" s="541" t="str">
        <f t="shared" si="17"/>
        <v>NHS North Manchester CCG</v>
      </c>
      <c r="H523" s="546">
        <v>1.9546429135281866E-2</v>
      </c>
      <c r="I523" s="546">
        <v>1.7076675965846652E-2</v>
      </c>
      <c r="J523" s="384">
        <f>VLOOKUP($A523,'8.Non-elective admissions - CCG'!$D$5:$N$215,3,0)*$H523</f>
        <v>119.33094987089579</v>
      </c>
      <c r="K523" s="384">
        <f>VLOOKUP($A523,'8.Non-elective admissions - CCG'!$D$5:$N$215,4,0)*$H523</f>
        <v>119.74142488273671</v>
      </c>
      <c r="L523" s="384">
        <f>VLOOKUP($A523,'8.Non-elective admissions - CCG'!$D$5:$N$215,5,0)*$H523</f>
        <v>124.86258931618056</v>
      </c>
      <c r="M523" s="384">
        <f>VLOOKUP($A523,'8.Non-elective admissions - CCG'!$D$5:$N$215,6,0)*$H523</f>
        <v>124.72576431223359</v>
      </c>
      <c r="N523" s="384">
        <f>VLOOKUP($A523,'8.Non-elective admissions - CCG'!$D$5:$N$215,7,0)*$H523</f>
        <v>115.46075690210998</v>
      </c>
      <c r="O523" s="384">
        <f>VLOOKUP($A523,'8.Non-elective admissions - CCG'!$D$5:$N$215,8,0)*$H523</f>
        <v>116.39898550060352</v>
      </c>
      <c r="P523" s="384">
        <f>VLOOKUP($A523,'8.Non-elective admissions - CCG'!$D$5:$N$215,9,0)*$H523</f>
        <v>121.63742850885906</v>
      </c>
      <c r="Q523" s="384">
        <f>VLOOKUP($A523,'8.Non-elective admissions - CCG'!$D$5:$N$215,10,0)*$H523</f>
        <v>119.66323916619558</v>
      </c>
      <c r="R523" s="384">
        <f>VLOOKUP($A523,'8.Non-elective admissions - CCG'!$D$5:$Q$215,11,0)*$H523</f>
        <v>112.33332824046488</v>
      </c>
      <c r="S523" s="384">
        <f>VLOOKUP($A523,'8.Non-elective admissions - CCG'!$D$5:$Q$215,12,0)*$H523</f>
        <v>113.34974255549955</v>
      </c>
      <c r="T523" s="384">
        <f>VLOOKUP($A523,'8.Non-elective admissions - CCG'!$D$5:$Q$215,13,0)*$H523</f>
        <v>118.4709069889434</v>
      </c>
      <c r="U523" s="384">
        <f>VLOOKUP($A523,'8.Non-elective admissions - CCG'!$D$5:$Q$215,14,0)*$H523</f>
        <v>116.43807835887408</v>
      </c>
    </row>
    <row r="524" spans="1:21">
      <c r="A524" s="395" t="s">
        <v>431</v>
      </c>
      <c r="B524" s="395" t="s">
        <v>430</v>
      </c>
      <c r="C524" s="395" t="s">
        <v>755</v>
      </c>
      <c r="D524" s="395" t="s">
        <v>381</v>
      </c>
      <c r="E524" s="537">
        <f>COUNTIF($D$5:D524,D524)</f>
        <v>4</v>
      </c>
      <c r="F524" s="537" t="str">
        <f t="shared" si="16"/>
        <v>Salford4</v>
      </c>
      <c r="G524" s="541" t="str">
        <f t="shared" si="17"/>
        <v>NHS North Manchester CCG</v>
      </c>
      <c r="H524" s="546">
        <v>2.0193223429232049E-2</v>
      </c>
      <c r="I524" s="546">
        <v>1.5801219463595428E-2</v>
      </c>
      <c r="J524" s="384">
        <f>VLOOKUP($A524,'8.Non-elective admissions - CCG'!$D$5:$N$215,3,0)*$H524</f>
        <v>123.27962903546165</v>
      </c>
      <c r="K524" s="384">
        <f>VLOOKUP($A524,'8.Non-elective admissions - CCG'!$D$5:$N$215,4,0)*$H524</f>
        <v>123.70368672747553</v>
      </c>
      <c r="L524" s="384">
        <f>VLOOKUP($A524,'8.Non-elective admissions - CCG'!$D$5:$N$215,5,0)*$H524</f>
        <v>128.99431126593433</v>
      </c>
      <c r="M524" s="384">
        <f>VLOOKUP($A524,'8.Non-elective admissions - CCG'!$D$5:$N$215,6,0)*$H524</f>
        <v>128.85295870192971</v>
      </c>
      <c r="N524" s="384">
        <f>VLOOKUP($A524,'8.Non-elective admissions - CCG'!$D$5:$N$215,7,0)*$H524</f>
        <v>119.28137079647371</v>
      </c>
      <c r="O524" s="384">
        <f>VLOOKUP($A524,'8.Non-elective admissions - CCG'!$D$5:$N$215,8,0)*$H524</f>
        <v>120.25064552107685</v>
      </c>
      <c r="P524" s="384">
        <f>VLOOKUP($A524,'8.Non-elective admissions - CCG'!$D$5:$N$215,9,0)*$H524</f>
        <v>125.66242940011104</v>
      </c>
      <c r="Q524" s="384">
        <f>VLOOKUP($A524,'8.Non-elective admissions - CCG'!$D$5:$N$215,10,0)*$H524</f>
        <v>123.6229138337586</v>
      </c>
      <c r="R524" s="384">
        <f>VLOOKUP($A524,'8.Non-elective admissions - CCG'!$D$5:$Q$215,11,0)*$H524</f>
        <v>116.05045504779659</v>
      </c>
      <c r="S524" s="384">
        <f>VLOOKUP($A524,'8.Non-elective admissions - CCG'!$D$5:$Q$215,12,0)*$H524</f>
        <v>117.10050266611665</v>
      </c>
      <c r="T524" s="384">
        <f>VLOOKUP($A524,'8.Non-elective admissions - CCG'!$D$5:$Q$215,13,0)*$H524</f>
        <v>122.39112720457545</v>
      </c>
      <c r="U524" s="384">
        <f>VLOOKUP($A524,'8.Non-elective admissions - CCG'!$D$5:$Q$215,14,0)*$H524</f>
        <v>120.29103196793531</v>
      </c>
    </row>
    <row r="525" spans="1:21">
      <c r="A525" s="395" t="s">
        <v>431</v>
      </c>
      <c r="B525" s="395" t="s">
        <v>430</v>
      </c>
      <c r="C525" s="395" t="s">
        <v>778</v>
      </c>
      <c r="D525" s="395" t="s">
        <v>450</v>
      </c>
      <c r="E525" s="537">
        <f>COUNTIF($D$5:D525,D525)</f>
        <v>2</v>
      </c>
      <c r="F525" s="537" t="str">
        <f t="shared" si="16"/>
        <v>Tameside2</v>
      </c>
      <c r="G525" s="541" t="str">
        <f t="shared" si="17"/>
        <v>NHS North Manchester CCG</v>
      </c>
      <c r="H525" s="546">
        <v>6.5203994846017133E-2</v>
      </c>
      <c r="I525" s="546">
        <v>5.481463721641143E-2</v>
      </c>
      <c r="J525" s="384">
        <f>VLOOKUP($A525,'8.Non-elective admissions - CCG'!$D$5:$N$215,3,0)*$H525</f>
        <v>398.07038853493458</v>
      </c>
      <c r="K525" s="384">
        <f>VLOOKUP($A525,'8.Non-elective admissions - CCG'!$D$5:$N$215,4,0)*$H525</f>
        <v>399.43967242670095</v>
      </c>
      <c r="L525" s="384">
        <f>VLOOKUP($A525,'8.Non-elective admissions - CCG'!$D$5:$N$215,5,0)*$H525</f>
        <v>416.52311907635743</v>
      </c>
      <c r="M525" s="384">
        <f>VLOOKUP($A525,'8.Non-elective admissions - CCG'!$D$5:$N$215,6,0)*$H525</f>
        <v>416.06669111243531</v>
      </c>
      <c r="N525" s="384">
        <f>VLOOKUP($A525,'8.Non-elective admissions - CCG'!$D$5:$N$215,7,0)*$H525</f>
        <v>385.15999755542322</v>
      </c>
      <c r="O525" s="384">
        <f>VLOOKUP($A525,'8.Non-elective admissions - CCG'!$D$5:$N$215,8,0)*$H525</f>
        <v>388.28978930803203</v>
      </c>
      <c r="P525" s="384">
        <f>VLOOKUP($A525,'8.Non-elective admissions - CCG'!$D$5:$N$215,9,0)*$H525</f>
        <v>405.76445992676463</v>
      </c>
      <c r="Q525" s="384">
        <f>VLOOKUP($A525,'8.Non-elective admissions - CCG'!$D$5:$N$215,10,0)*$H525</f>
        <v>399.17885644731689</v>
      </c>
      <c r="R525" s="384">
        <f>VLOOKUP($A525,'8.Non-elective admissions - CCG'!$D$5:$Q$215,11,0)*$H525</f>
        <v>374.72735838006048</v>
      </c>
      <c r="S525" s="384">
        <f>VLOOKUP($A525,'8.Non-elective admissions - CCG'!$D$5:$Q$215,12,0)*$H525</f>
        <v>378.11796611205335</v>
      </c>
      <c r="T525" s="384">
        <f>VLOOKUP($A525,'8.Non-elective admissions - CCG'!$D$5:$Q$215,13,0)*$H525</f>
        <v>395.20141276170983</v>
      </c>
      <c r="U525" s="384">
        <f>VLOOKUP($A525,'8.Non-elective admissions - CCG'!$D$5:$Q$215,14,0)*$H525</f>
        <v>388.42019729772409</v>
      </c>
    </row>
    <row r="526" spans="1:21">
      <c r="A526" s="395" t="s">
        <v>434</v>
      </c>
      <c r="B526" s="395" t="s">
        <v>433</v>
      </c>
      <c r="C526" s="395" t="s">
        <v>733</v>
      </c>
      <c r="D526" s="395" t="s">
        <v>315</v>
      </c>
      <c r="E526" s="537">
        <f>COUNTIF($D$5:D526,D526)</f>
        <v>4</v>
      </c>
      <c r="F526" s="537" t="str">
        <f t="shared" si="16"/>
        <v>Norfolk4</v>
      </c>
      <c r="G526" s="541" t="str">
        <f t="shared" si="17"/>
        <v>NHS North Norfolk CCG</v>
      </c>
      <c r="H526" s="546">
        <v>1</v>
      </c>
      <c r="I526" s="546">
        <v>0.18839363335110629</v>
      </c>
      <c r="J526" s="384">
        <f>VLOOKUP($A526,'8.Non-elective admissions - CCG'!$D$5:$N$215,3,0)*$H526</f>
        <v>4133</v>
      </c>
      <c r="K526" s="384">
        <f>VLOOKUP($A526,'8.Non-elective admissions - CCG'!$D$5:$N$215,4,0)*$H526</f>
        <v>4106</v>
      </c>
      <c r="L526" s="384">
        <f>VLOOKUP($A526,'8.Non-elective admissions - CCG'!$D$5:$N$215,5,0)*$H526</f>
        <v>4321</v>
      </c>
      <c r="M526" s="384">
        <f>VLOOKUP($A526,'8.Non-elective admissions - CCG'!$D$5:$N$215,6,0)*$H526</f>
        <v>4213</v>
      </c>
      <c r="N526" s="384">
        <f>VLOOKUP($A526,'8.Non-elective admissions - CCG'!$D$5:$N$215,7,0)*$H526</f>
        <v>4516.6435743700004</v>
      </c>
      <c r="O526" s="384">
        <f>VLOOKUP($A526,'8.Non-elective admissions - CCG'!$D$5:$N$215,8,0)*$H526</f>
        <v>4410.8333666199997</v>
      </c>
      <c r="P526" s="384">
        <f>VLOOKUP($A526,'8.Non-elective admissions - CCG'!$D$5:$N$215,9,0)*$H526</f>
        <v>4663.9479811700003</v>
      </c>
      <c r="Q526" s="384">
        <f>VLOOKUP($A526,'8.Non-elective admissions - CCG'!$D$5:$N$215,10,0)*$H526</f>
        <v>4275.8188209700002</v>
      </c>
      <c r="R526" s="384">
        <f>VLOOKUP($A526,'8.Non-elective admissions - CCG'!$D$5:$Q$215,11,0)*$H526</f>
        <v>4670.2094557700002</v>
      </c>
      <c r="S526" s="384">
        <f>VLOOKUP($A526,'8.Non-elective admissions - CCG'!$D$5:$Q$215,12,0)*$H526</f>
        <v>4560.8017009800005</v>
      </c>
      <c r="T526" s="384">
        <f>VLOOKUP($A526,'8.Non-elective admissions - CCG'!$D$5:$Q$215,13,0)*$H526</f>
        <v>4822.5222125099999</v>
      </c>
      <c r="U526" s="384">
        <f>VLOOKUP($A526,'8.Non-elective admissions - CCG'!$D$5:$Q$215,14,0)*$H526</f>
        <v>4421.1966609500005</v>
      </c>
    </row>
    <row r="527" spans="1:21">
      <c r="A527" s="395" t="s">
        <v>437</v>
      </c>
      <c r="B527" s="395" t="s">
        <v>436</v>
      </c>
      <c r="C527" s="395" t="s">
        <v>736</v>
      </c>
      <c r="D527" s="395" t="s">
        <v>324</v>
      </c>
      <c r="E527" s="537">
        <f>COUNTIF($D$5:D527,D527)</f>
        <v>3</v>
      </c>
      <c r="F527" s="537" t="str">
        <f t="shared" si="16"/>
        <v>North Somerset3</v>
      </c>
      <c r="G527" s="541" t="str">
        <f t="shared" si="17"/>
        <v>NHS North Somerset CCG</v>
      </c>
      <c r="H527" s="546">
        <v>0.99120345866140824</v>
      </c>
      <c r="I527" s="546">
        <v>0.97685443777148961</v>
      </c>
      <c r="J527" s="384">
        <f>VLOOKUP($A527,'8.Non-elective admissions - CCG'!$D$5:$N$215,3,0)*$H527</f>
        <v>4581.3423859330287</v>
      </c>
      <c r="K527" s="384">
        <f>VLOOKUP($A527,'8.Non-elective admissions - CCG'!$D$5:$N$215,4,0)*$H527</f>
        <v>4860.8617612755461</v>
      </c>
      <c r="L527" s="384">
        <f>VLOOKUP($A527,'8.Non-elective admissions - CCG'!$D$5:$N$215,5,0)*$H527</f>
        <v>4967.9117348109785</v>
      </c>
      <c r="M527" s="384">
        <f>VLOOKUP($A527,'8.Non-elective admissions - CCG'!$D$5:$N$215,6,0)*$H527</f>
        <v>5179.0380715058582</v>
      </c>
      <c r="N527" s="384">
        <f>VLOOKUP($A527,'8.Non-elective admissions - CCG'!$D$5:$N$215,7,0)*$H527</f>
        <v>4693.3483767617681</v>
      </c>
      <c r="O527" s="384">
        <f>VLOOKUP($A527,'8.Non-elective admissions - CCG'!$D$5:$N$215,8,0)*$H527</f>
        <v>5001.6126524054662</v>
      </c>
      <c r="P527" s="384">
        <f>VLOOKUP($A527,'8.Non-elective admissions - CCG'!$D$5:$N$215,9,0)*$H527</f>
        <v>4924.2987826298759</v>
      </c>
      <c r="Q527" s="384">
        <f>VLOOKUP($A527,'8.Non-elective admissions - CCG'!$D$5:$N$215,10,0)*$H527</f>
        <v>4926.2811895471987</v>
      </c>
      <c r="R527" s="384">
        <f>VLOOKUP($A527,'8.Non-elective admissions - CCG'!$D$5:$Q$215,11,0)*$H527</f>
        <v>4596.2104378129497</v>
      </c>
      <c r="S527" s="384">
        <f>VLOOKUP($A527,'8.Non-elective admissions - CCG'!$D$5:$Q$215,12,0)*$H527</f>
        <v>4739.934939318854</v>
      </c>
      <c r="T527" s="384">
        <f>VLOOKUP($A527,'8.Non-elective admissions - CCG'!$D$5:$Q$215,13,0)*$H527</f>
        <v>4596.2104378129497</v>
      </c>
      <c r="U527" s="384">
        <f>VLOOKUP($A527,'8.Non-elective admissions - CCG'!$D$5:$Q$215,14,0)*$H527</f>
        <v>4453.4771397657069</v>
      </c>
    </row>
    <row r="528" spans="1:21">
      <c r="A528" s="395" t="s">
        <v>437</v>
      </c>
      <c r="B528" s="395" t="s">
        <v>436</v>
      </c>
      <c r="C528" s="395" t="s">
        <v>762</v>
      </c>
      <c r="D528" s="395" t="s">
        <v>402</v>
      </c>
      <c r="E528" s="537">
        <f>COUNTIF($D$5:D528,D528)</f>
        <v>3</v>
      </c>
      <c r="F528" s="537" t="str">
        <f t="shared" si="16"/>
        <v>Somerset3</v>
      </c>
      <c r="G528" s="541" t="str">
        <f t="shared" si="17"/>
        <v>NHS North Somerset CCG</v>
      </c>
      <c r="H528" s="546">
        <v>8.7965413385918973E-3</v>
      </c>
      <c r="I528" s="546">
        <v>3.3564423855404891E-3</v>
      </c>
      <c r="J528" s="384">
        <f>VLOOKUP($A528,'8.Non-elective admissions - CCG'!$D$5:$N$215,3,0)*$H528</f>
        <v>40.657614066971746</v>
      </c>
      <c r="K528" s="384">
        <f>VLOOKUP($A528,'8.Non-elective admissions - CCG'!$D$5:$N$215,4,0)*$H528</f>
        <v>43.138238724454666</v>
      </c>
      <c r="L528" s="384">
        <f>VLOOKUP($A528,'8.Non-elective admissions - CCG'!$D$5:$N$215,5,0)*$H528</f>
        <v>44.088265189022586</v>
      </c>
      <c r="M528" s="384">
        <f>VLOOKUP($A528,'8.Non-elective admissions - CCG'!$D$5:$N$215,6,0)*$H528</f>
        <v>45.961928494142661</v>
      </c>
      <c r="N528" s="384">
        <f>VLOOKUP($A528,'8.Non-elective admissions - CCG'!$D$5:$N$215,7,0)*$H528</f>
        <v>41.651623238232631</v>
      </c>
      <c r="O528" s="384">
        <f>VLOOKUP($A528,'8.Non-elective admissions - CCG'!$D$5:$N$215,8,0)*$H528</f>
        <v>44.387347594534717</v>
      </c>
      <c r="P528" s="384">
        <f>VLOOKUP($A528,'8.Non-elective admissions - CCG'!$D$5:$N$215,9,0)*$H528</f>
        <v>43.701217370124546</v>
      </c>
      <c r="Q528" s="384">
        <f>VLOOKUP($A528,'8.Non-elective admissions - CCG'!$D$5:$N$215,10,0)*$H528</f>
        <v>43.718810452801726</v>
      </c>
      <c r="R528" s="384">
        <f>VLOOKUP($A528,'8.Non-elective admissions - CCG'!$D$5:$Q$215,11,0)*$H528</f>
        <v>40.789562187050628</v>
      </c>
      <c r="S528" s="384">
        <f>VLOOKUP($A528,'8.Non-elective admissions - CCG'!$D$5:$Q$215,12,0)*$H528</f>
        <v>42.065060681146456</v>
      </c>
      <c r="T528" s="384">
        <f>VLOOKUP($A528,'8.Non-elective admissions - CCG'!$D$5:$Q$215,13,0)*$H528</f>
        <v>40.789562187050628</v>
      </c>
      <c r="U528" s="384">
        <f>VLOOKUP($A528,'8.Non-elective admissions - CCG'!$D$5:$Q$215,14,0)*$H528</f>
        <v>39.522860234293397</v>
      </c>
    </row>
    <row r="529" spans="1:21">
      <c r="A529" s="395" t="s">
        <v>440</v>
      </c>
      <c r="B529" s="395" t="s">
        <v>439</v>
      </c>
      <c r="C529" s="395" t="s">
        <v>673</v>
      </c>
      <c r="D529" s="395" t="s">
        <v>110</v>
      </c>
      <c r="E529" s="537">
        <f>COUNTIF($D$5:D529,D529)</f>
        <v>3</v>
      </c>
      <c r="F529" s="537" t="str">
        <f t="shared" si="16"/>
        <v>Cheshire East3</v>
      </c>
      <c r="G529" s="541" t="str">
        <f t="shared" si="17"/>
        <v>NHS North Staffordshire CCG</v>
      </c>
      <c r="H529" s="546">
        <v>1.0774140194644701E-2</v>
      </c>
      <c r="I529" s="546">
        <v>5.9355429889294152E-3</v>
      </c>
      <c r="J529" s="384">
        <f>VLOOKUP($A529,'8.Non-elective admissions - CCG'!$D$5:$N$215,3,0)*$H529</f>
        <v>59.688736678331644</v>
      </c>
      <c r="K529" s="384">
        <f>VLOOKUP($A529,'8.Non-elective admissions - CCG'!$D$5:$N$215,4,0)*$H529</f>
        <v>56.424172199354302</v>
      </c>
      <c r="L529" s="384">
        <f>VLOOKUP($A529,'8.Non-elective admissions - CCG'!$D$5:$N$215,5,0)*$H529</f>
        <v>62.252982044657081</v>
      </c>
      <c r="M529" s="384">
        <f>VLOOKUP($A529,'8.Non-elective admissions - CCG'!$D$5:$N$215,6,0)*$H529</f>
        <v>62.824011474973254</v>
      </c>
      <c r="N529" s="384">
        <f>VLOOKUP($A529,'8.Non-elective admissions - CCG'!$D$5:$N$215,7,0)*$H529</f>
        <v>52.276128224416091</v>
      </c>
      <c r="O529" s="384">
        <f>VLOOKUP($A529,'8.Non-elective admissions - CCG'!$D$5:$N$215,8,0)*$H529</f>
        <v>53.428961225243071</v>
      </c>
      <c r="P529" s="384">
        <f>VLOOKUP($A529,'8.Non-elective admissions - CCG'!$D$5:$N$215,9,0)*$H529</f>
        <v>53.698314730109189</v>
      </c>
      <c r="Q529" s="384">
        <f>VLOOKUP($A529,'8.Non-elective admissions - CCG'!$D$5:$N$215,10,0)*$H529</f>
        <v>55.023533974050487</v>
      </c>
      <c r="R529" s="384">
        <f>VLOOKUP($A529,'8.Non-elective admissions - CCG'!$D$5:$Q$215,11,0)*$H529</f>
        <v>49.119305147385191</v>
      </c>
      <c r="S529" s="384">
        <f>VLOOKUP($A529,'8.Non-elective admissions - CCG'!$D$5:$Q$215,12,0)*$H529</f>
        <v>50.250589867822889</v>
      </c>
      <c r="T529" s="384">
        <f>VLOOKUP($A529,'8.Non-elective admissions - CCG'!$D$5:$Q$215,13,0)*$H529</f>
        <v>50.509169232494358</v>
      </c>
      <c r="U529" s="384">
        <f>VLOOKUP($A529,'8.Non-elective admissions - CCG'!$D$5:$Q$215,14,0)*$H529</f>
        <v>51.737421214683856</v>
      </c>
    </row>
    <row r="530" spans="1:21">
      <c r="A530" s="395" t="s">
        <v>440</v>
      </c>
      <c r="B530" s="395" t="s">
        <v>439</v>
      </c>
      <c r="C530" s="395" t="s">
        <v>759</v>
      </c>
      <c r="D530" s="395" t="s">
        <v>393</v>
      </c>
      <c r="E530" s="537">
        <f>COUNTIF($D$5:D530,D530)</f>
        <v>2</v>
      </c>
      <c r="F530" s="537" t="str">
        <f t="shared" si="16"/>
        <v>Shropshire2</v>
      </c>
      <c r="G530" s="541" t="str">
        <f t="shared" si="17"/>
        <v>NHS North Staffordshire CCG</v>
      </c>
      <c r="H530" s="546">
        <v>3.9947484242936777E-3</v>
      </c>
      <c r="I530" s="546">
        <v>2.8644943413673185E-3</v>
      </c>
      <c r="J530" s="384">
        <f>VLOOKUP($A530,'8.Non-elective admissions - CCG'!$D$5:$N$215,3,0)*$H530</f>
        <v>22.130906270586973</v>
      </c>
      <c r="K530" s="384">
        <f>VLOOKUP($A530,'8.Non-elective admissions - CCG'!$D$5:$N$215,4,0)*$H530</f>
        <v>20.920497498025991</v>
      </c>
      <c r="L530" s="384">
        <f>VLOOKUP($A530,'8.Non-elective admissions - CCG'!$D$5:$N$215,5,0)*$H530</f>
        <v>23.081656395568871</v>
      </c>
      <c r="M530" s="384">
        <f>VLOOKUP($A530,'8.Non-elective admissions - CCG'!$D$5:$N$215,6,0)*$H530</f>
        <v>23.293378062056433</v>
      </c>
      <c r="N530" s="384">
        <f>VLOOKUP($A530,'8.Non-elective admissions - CCG'!$D$5:$N$215,7,0)*$H530</f>
        <v>19.382519354672922</v>
      </c>
      <c r="O530" s="384">
        <f>VLOOKUP($A530,'8.Non-elective admissions - CCG'!$D$5:$N$215,8,0)*$H530</f>
        <v>19.809957436072349</v>
      </c>
      <c r="P530" s="384">
        <f>VLOOKUP($A530,'8.Non-elective admissions - CCG'!$D$5:$N$215,9,0)*$H530</f>
        <v>19.909826146679688</v>
      </c>
      <c r="Q530" s="384">
        <f>VLOOKUP($A530,'8.Non-elective admissions - CCG'!$D$5:$N$215,10,0)*$H530</f>
        <v>20.401180202867813</v>
      </c>
      <c r="R530" s="384">
        <f>VLOOKUP($A530,'8.Non-elective admissions - CCG'!$D$5:$Q$215,11,0)*$H530</f>
        <v>18.212058066354878</v>
      </c>
      <c r="S530" s="384">
        <f>VLOOKUP($A530,'8.Non-elective admissions - CCG'!$D$5:$Q$215,12,0)*$H530</f>
        <v>18.631506650905713</v>
      </c>
      <c r="T530" s="384">
        <f>VLOOKUP($A530,'8.Non-elective admissions - CCG'!$D$5:$Q$215,13,0)*$H530</f>
        <v>18.727380613088762</v>
      </c>
      <c r="U530" s="384">
        <f>VLOOKUP($A530,'8.Non-elective admissions - CCG'!$D$5:$Q$215,14,0)*$H530</f>
        <v>19.182781933458241</v>
      </c>
    </row>
    <row r="531" spans="1:21">
      <c r="A531" s="395" t="s">
        <v>440</v>
      </c>
      <c r="B531" s="395" t="s">
        <v>439</v>
      </c>
      <c r="C531" s="395" t="s">
        <v>769</v>
      </c>
      <c r="D531" s="395" t="s">
        <v>423</v>
      </c>
      <c r="E531" s="537">
        <f>COUNTIF($D$5:D531,D531)</f>
        <v>7</v>
      </c>
      <c r="F531" s="537" t="str">
        <f t="shared" si="16"/>
        <v>Staffordshire7</v>
      </c>
      <c r="G531" s="541" t="str">
        <f t="shared" si="17"/>
        <v>NHS North Staffordshire CCG</v>
      </c>
      <c r="H531" s="546">
        <v>0.95193219673785578</v>
      </c>
      <c r="I531" s="546">
        <v>0.23427568094637979</v>
      </c>
      <c r="J531" s="384">
        <f>VLOOKUP($A531,'8.Non-elective admissions - CCG'!$D$5:$N$215,3,0)*$H531</f>
        <v>5273.704369927721</v>
      </c>
      <c r="K531" s="384">
        <f>VLOOKUP($A531,'8.Non-elective admissions - CCG'!$D$5:$N$215,4,0)*$H531</f>
        <v>4985.2689143161506</v>
      </c>
      <c r="L531" s="384">
        <f>VLOOKUP($A531,'8.Non-elective admissions - CCG'!$D$5:$N$215,5,0)*$H531</f>
        <v>5500.2642327513304</v>
      </c>
      <c r="M531" s="384">
        <f>VLOOKUP($A531,'8.Non-elective admissions - CCG'!$D$5:$N$215,6,0)*$H531</f>
        <v>5550.7166391784367</v>
      </c>
      <c r="N531" s="384">
        <f>VLOOKUP($A531,'8.Non-elective admissions - CCG'!$D$5:$N$215,7,0)*$H531</f>
        <v>4618.7750185720761</v>
      </c>
      <c r="O531" s="384">
        <f>VLOOKUP($A531,'8.Non-elective admissions - CCG'!$D$5:$N$215,8,0)*$H531</f>
        <v>4720.6317636230269</v>
      </c>
      <c r="P531" s="384">
        <f>VLOOKUP($A531,'8.Non-elective admissions - CCG'!$D$5:$N$215,9,0)*$H531</f>
        <v>4744.4300685414728</v>
      </c>
      <c r="Q531" s="384">
        <f>VLOOKUP($A531,'8.Non-elective admissions - CCG'!$D$5:$N$215,10,0)*$H531</f>
        <v>4861.5177287402294</v>
      </c>
      <c r="R531" s="384">
        <f>VLOOKUP($A531,'8.Non-elective admissions - CCG'!$D$5:$Q$215,11,0)*$H531</f>
        <v>4339.8588849278849</v>
      </c>
      <c r="S531" s="384">
        <f>VLOOKUP($A531,'8.Non-elective admissions - CCG'!$D$5:$Q$215,12,0)*$H531</f>
        <v>4439.8117655853594</v>
      </c>
      <c r="T531" s="384">
        <f>VLOOKUP($A531,'8.Non-elective admissions - CCG'!$D$5:$Q$215,13,0)*$H531</f>
        <v>4462.6581383070679</v>
      </c>
      <c r="U531" s="384">
        <f>VLOOKUP($A531,'8.Non-elective admissions - CCG'!$D$5:$Q$215,14,0)*$H531</f>
        <v>4571.1784087351834</v>
      </c>
    </row>
    <row r="532" spans="1:21">
      <c r="A532" s="395" t="s">
        <v>440</v>
      </c>
      <c r="B532" s="395" t="s">
        <v>439</v>
      </c>
      <c r="C532" s="395" t="s">
        <v>772</v>
      </c>
      <c r="D532" s="395" t="s">
        <v>432</v>
      </c>
      <c r="E532" s="537">
        <f>COUNTIF($D$5:D532,D532)</f>
        <v>1</v>
      </c>
      <c r="F532" s="537" t="str">
        <f t="shared" si="16"/>
        <v>Stoke-on-Trent1</v>
      </c>
      <c r="G532" s="541" t="str">
        <f t="shared" si="17"/>
        <v>NHS North Staffordshire CCG</v>
      </c>
      <c r="H532" s="546">
        <v>3.329891464320589E-2</v>
      </c>
      <c r="I532" s="546">
        <v>2.6883383375831738E-2</v>
      </c>
      <c r="J532" s="384">
        <f>VLOOKUP($A532,'8.Non-elective admissions - CCG'!$D$5:$N$215,3,0)*$H532</f>
        <v>184.47598712336062</v>
      </c>
      <c r="K532" s="384">
        <f>VLOOKUP($A532,'8.Non-elective admissions - CCG'!$D$5:$N$215,4,0)*$H532</f>
        <v>174.38641598646925</v>
      </c>
      <c r="L532" s="384">
        <f>VLOOKUP($A532,'8.Non-elective admissions - CCG'!$D$5:$N$215,5,0)*$H532</f>
        <v>192.40112880844364</v>
      </c>
      <c r="M532" s="384">
        <f>VLOOKUP($A532,'8.Non-elective admissions - CCG'!$D$5:$N$215,6,0)*$H532</f>
        <v>194.16597128453355</v>
      </c>
      <c r="N532" s="384">
        <f>VLOOKUP($A532,'8.Non-elective admissions - CCG'!$D$5:$N$215,7,0)*$H532</f>
        <v>161.56633384883497</v>
      </c>
      <c r="O532" s="384">
        <f>VLOOKUP($A532,'8.Non-elective admissions - CCG'!$D$5:$N$215,8,0)*$H532</f>
        <v>165.129317715658</v>
      </c>
      <c r="P532" s="384">
        <f>VLOOKUP($A532,'8.Non-elective admissions - CCG'!$D$5:$N$215,9,0)*$H532</f>
        <v>165.96179058173817</v>
      </c>
      <c r="Q532" s="384">
        <f>VLOOKUP($A532,'8.Non-elective admissions - CCG'!$D$5:$N$215,10,0)*$H532</f>
        <v>170.05755708285247</v>
      </c>
      <c r="R532" s="384">
        <f>VLOOKUP($A532,'8.Non-elective admissions - CCG'!$D$5:$Q$215,11,0)*$H532</f>
        <v>151.80975185837565</v>
      </c>
      <c r="S532" s="384">
        <f>VLOOKUP($A532,'8.Non-elective admissions - CCG'!$D$5:$Q$215,12,0)*$H532</f>
        <v>155.30613789591229</v>
      </c>
      <c r="T532" s="384">
        <f>VLOOKUP($A532,'8.Non-elective admissions - CCG'!$D$5:$Q$215,13,0)*$H532</f>
        <v>156.10531184734921</v>
      </c>
      <c r="U532" s="384">
        <f>VLOOKUP($A532,'8.Non-elective admissions - CCG'!$D$5:$Q$215,14,0)*$H532</f>
        <v>159.9013881166747</v>
      </c>
    </row>
    <row r="533" spans="1:21">
      <c r="A533" s="395" t="s">
        <v>443</v>
      </c>
      <c r="B533" s="395" t="s">
        <v>442</v>
      </c>
      <c r="C533" s="395" t="s">
        <v>731</v>
      </c>
      <c r="D533" s="395" t="s">
        <v>309</v>
      </c>
      <c r="E533" s="537">
        <f>COUNTIF($D$5:D533,D533)</f>
        <v>3</v>
      </c>
      <c r="F533" s="537" t="str">
        <f t="shared" si="16"/>
        <v>Newcastle upon Tyne3</v>
      </c>
      <c r="G533" s="541" t="str">
        <f t="shared" si="17"/>
        <v>NHS North Tyneside CCG</v>
      </c>
      <c r="H533" s="546">
        <v>6.0108125136082949E-2</v>
      </c>
      <c r="I533" s="546">
        <v>4.2578396755181602E-2</v>
      </c>
      <c r="J533" s="384">
        <f>VLOOKUP($A533,'8.Non-elective admissions - CCG'!$D$5:$N$215,3,0)*$H533</f>
        <v>359.14604768809562</v>
      </c>
      <c r="K533" s="384">
        <f>VLOOKUP($A533,'8.Non-elective admissions - CCG'!$D$5:$N$215,4,0)*$H533</f>
        <v>349.28831516577799</v>
      </c>
      <c r="L533" s="384">
        <f>VLOOKUP($A533,'8.Non-elective admissions - CCG'!$D$5:$N$215,5,0)*$H533</f>
        <v>371.88897021694521</v>
      </c>
      <c r="M533" s="384">
        <f>VLOOKUP($A533,'8.Non-elective admissions - CCG'!$D$5:$N$215,6,0)*$H533</f>
        <v>405.85006091883207</v>
      </c>
      <c r="N533" s="384">
        <f>VLOOKUP($A533,'8.Non-elective admissions - CCG'!$D$5:$N$215,7,0)*$H533</f>
        <v>335.46344638447891</v>
      </c>
      <c r="O533" s="384">
        <f>VLOOKUP($A533,'8.Non-elective admissions - CCG'!$D$5:$N$215,8,0)*$H533</f>
        <v>332.33782387740263</v>
      </c>
      <c r="P533" s="384">
        <f>VLOOKUP($A533,'8.Non-elective admissions - CCG'!$D$5:$N$215,9,0)*$H533</f>
        <v>349.40853141605021</v>
      </c>
      <c r="Q533" s="384">
        <f>VLOOKUP($A533,'8.Non-elective admissions - CCG'!$D$5:$N$215,10,0)*$H533</f>
        <v>370.2059427131349</v>
      </c>
      <c r="R533" s="384">
        <f>VLOOKUP($A533,'8.Non-elective admissions - CCG'!$D$5:$Q$215,11,0)*$H533</f>
        <v>329.39252574573459</v>
      </c>
      <c r="S533" s="384">
        <f>VLOOKUP($A533,'8.Non-elective admissions - CCG'!$D$5:$Q$215,12,0)*$H533</f>
        <v>326.50733573920257</v>
      </c>
      <c r="T533" s="384">
        <f>VLOOKUP($A533,'8.Non-elective admissions - CCG'!$D$5:$Q$215,13,0)*$H533</f>
        <v>343.21739452703366</v>
      </c>
      <c r="U533" s="384">
        <f>VLOOKUP($A533,'8.Non-elective admissions - CCG'!$D$5:$Q$215,14,0)*$H533</f>
        <v>363.59404894816578</v>
      </c>
    </row>
    <row r="534" spans="1:21">
      <c r="A534" s="395" t="s">
        <v>443</v>
      </c>
      <c r="B534" s="395" t="s">
        <v>442</v>
      </c>
      <c r="C534" s="395" t="s">
        <v>737</v>
      </c>
      <c r="D534" s="395" t="s">
        <v>327</v>
      </c>
      <c r="E534" s="537">
        <f>COUNTIF($D$5:D534,D534)</f>
        <v>3</v>
      </c>
      <c r="F534" s="537" t="str">
        <f t="shared" si="16"/>
        <v>North Tyneside3</v>
      </c>
      <c r="G534" s="541" t="str">
        <f t="shared" si="17"/>
        <v>NHS North Tyneside CCG</v>
      </c>
      <c r="H534" s="546">
        <v>0.93095093601901235</v>
      </c>
      <c r="I534" s="546">
        <v>0.96469684604675721</v>
      </c>
      <c r="J534" s="384">
        <f>VLOOKUP($A534,'8.Non-elective admissions - CCG'!$D$5:$N$215,3,0)*$H534</f>
        <v>5562.4318427135986</v>
      </c>
      <c r="K534" s="384">
        <f>VLOOKUP($A534,'8.Non-elective admissions - CCG'!$D$5:$N$215,4,0)*$H534</f>
        <v>5409.7558892064808</v>
      </c>
      <c r="L534" s="384">
        <f>VLOOKUP($A534,'8.Non-elective admissions - CCG'!$D$5:$N$215,5,0)*$H534</f>
        <v>5759.7934411496299</v>
      </c>
      <c r="M534" s="384">
        <f>VLOOKUP($A534,'8.Non-elective admissions - CCG'!$D$5:$N$215,6,0)*$H534</f>
        <v>6285.7807200003717</v>
      </c>
      <c r="N534" s="384">
        <f>VLOOKUP($A534,'8.Non-elective admissions - CCG'!$D$5:$N$215,7,0)*$H534</f>
        <v>5195.6371739221076</v>
      </c>
      <c r="O534" s="384">
        <f>VLOOKUP($A534,'8.Non-elective admissions - CCG'!$D$5:$N$215,8,0)*$H534</f>
        <v>5147.2277252491194</v>
      </c>
      <c r="P534" s="384">
        <f>VLOOKUP($A534,'8.Non-elective admissions - CCG'!$D$5:$N$215,9,0)*$H534</f>
        <v>5411.6177910785191</v>
      </c>
      <c r="Q534" s="384">
        <f>VLOOKUP($A534,'8.Non-elective admissions - CCG'!$D$5:$N$215,10,0)*$H534</f>
        <v>5733.7268149410975</v>
      </c>
      <c r="R534" s="384">
        <f>VLOOKUP($A534,'8.Non-elective admissions - CCG'!$D$5:$Q$215,11,0)*$H534</f>
        <v>5101.6111293841877</v>
      </c>
      <c r="S534" s="384">
        <f>VLOOKUP($A534,'8.Non-elective admissions - CCG'!$D$5:$Q$215,12,0)*$H534</f>
        <v>5056.9254844552752</v>
      </c>
      <c r="T534" s="384">
        <f>VLOOKUP($A534,'8.Non-elective admissions - CCG'!$D$5:$Q$215,13,0)*$H534</f>
        <v>5315.7298446685609</v>
      </c>
      <c r="U534" s="384">
        <f>VLOOKUP($A534,'8.Non-elective admissions - CCG'!$D$5:$Q$215,14,0)*$H534</f>
        <v>5631.3222119790062</v>
      </c>
    </row>
    <row r="535" spans="1:21">
      <c r="A535" s="395" t="s">
        <v>443</v>
      </c>
      <c r="B535" s="395" t="s">
        <v>442</v>
      </c>
      <c r="C535" s="395" t="s">
        <v>740</v>
      </c>
      <c r="D535" s="395" t="s">
        <v>336</v>
      </c>
      <c r="E535" s="537">
        <f>COUNTIF($D$5:D535,D535)</f>
        <v>4</v>
      </c>
      <c r="F535" s="537" t="str">
        <f t="shared" si="16"/>
        <v>Northumberland4</v>
      </c>
      <c r="G535" s="541" t="str">
        <f t="shared" si="17"/>
        <v>NHS North Tyneside CCG</v>
      </c>
      <c r="H535" s="546">
        <v>8.9409388449048239E-3</v>
      </c>
      <c r="I535" s="546">
        <v>6.0566500762573037E-3</v>
      </c>
      <c r="J535" s="384">
        <f>VLOOKUP($A535,'8.Non-elective admissions - CCG'!$D$5:$N$215,3,0)*$H535</f>
        <v>53.422109598306321</v>
      </c>
      <c r="K535" s="384">
        <f>VLOOKUP($A535,'8.Non-elective admissions - CCG'!$D$5:$N$215,4,0)*$H535</f>
        <v>51.955795627741935</v>
      </c>
      <c r="L535" s="384">
        <f>VLOOKUP($A535,'8.Non-elective admissions - CCG'!$D$5:$N$215,5,0)*$H535</f>
        <v>55.317588633426148</v>
      </c>
      <c r="M535" s="384">
        <f>VLOOKUP($A535,'8.Non-elective admissions - CCG'!$D$5:$N$215,6,0)*$H535</f>
        <v>60.369219080797372</v>
      </c>
      <c r="N535" s="384">
        <f>VLOOKUP($A535,'8.Non-elective admissions - CCG'!$D$5:$N$215,7,0)*$H535</f>
        <v>49.89937969341382</v>
      </c>
      <c r="O535" s="384">
        <f>VLOOKUP($A535,'8.Non-elective admissions - CCG'!$D$5:$N$215,8,0)*$H535</f>
        <v>49.434450873478774</v>
      </c>
      <c r="P535" s="384">
        <f>VLOOKUP($A535,'8.Non-elective admissions - CCG'!$D$5:$N$215,9,0)*$H535</f>
        <v>51.973677505431745</v>
      </c>
      <c r="Q535" s="384">
        <f>VLOOKUP($A535,'8.Non-elective admissions - CCG'!$D$5:$N$215,10,0)*$H535</f>
        <v>55.067242345768811</v>
      </c>
      <c r="R535" s="384">
        <f>VLOOKUP($A535,'8.Non-elective admissions - CCG'!$D$5:$Q$215,11,0)*$H535</f>
        <v>48.996344870078438</v>
      </c>
      <c r="S535" s="384">
        <f>VLOOKUP($A535,'8.Non-elective admissions - CCG'!$D$5:$Q$215,12,0)*$H535</f>
        <v>48.567179805523004</v>
      </c>
      <c r="T535" s="384">
        <f>VLOOKUP($A535,'8.Non-elective admissions - CCG'!$D$5:$Q$215,13,0)*$H535</f>
        <v>51.052760804406546</v>
      </c>
      <c r="U535" s="384">
        <f>VLOOKUP($A535,'8.Non-elective admissions - CCG'!$D$5:$Q$215,14,0)*$H535</f>
        <v>54.083739072829282</v>
      </c>
    </row>
    <row r="536" spans="1:21">
      <c r="A536" s="395" t="s">
        <v>446</v>
      </c>
      <c r="B536" s="395" t="s">
        <v>445</v>
      </c>
      <c r="C536" s="395" t="s">
        <v>707</v>
      </c>
      <c r="D536" s="395" t="s">
        <v>234</v>
      </c>
      <c r="E536" s="537">
        <f>COUNTIF($D$5:D536,D536)</f>
        <v>5</v>
      </c>
      <c r="F536" s="537" t="str">
        <f t="shared" si="16"/>
        <v>Hounslow5</v>
      </c>
      <c r="G536" s="541" t="str">
        <f t="shared" si="17"/>
        <v>NHS North West Surrey CCG</v>
      </c>
      <c r="H536" s="546">
        <v>3.2991906542420351E-3</v>
      </c>
      <c r="I536" s="546">
        <v>3.9782321877591311E-3</v>
      </c>
      <c r="J536" s="384">
        <f>VLOOKUP($A536,'8.Non-elective admissions - CCG'!$D$5:$N$215,3,0)*$H536</f>
        <v>22.437795639500081</v>
      </c>
      <c r="K536" s="384">
        <f>VLOOKUP($A536,'8.Non-elective admissions - CCG'!$D$5:$N$215,4,0)*$H536</f>
        <v>21.956113803980745</v>
      </c>
      <c r="L536" s="384">
        <f>VLOOKUP($A536,'8.Non-elective admissions - CCG'!$D$5:$N$215,5,0)*$H536</f>
        <v>22.269536916133738</v>
      </c>
      <c r="M536" s="384">
        <f>VLOOKUP($A536,'8.Non-elective admissions - CCG'!$D$5:$N$215,6,0)*$H536</f>
        <v>21.834043749773787</v>
      </c>
      <c r="N536" s="384">
        <f>VLOOKUP($A536,'8.Non-elective admissions - CCG'!$D$5:$N$215,7,0)*$H536</f>
        <v>25.167958431170653</v>
      </c>
      <c r="O536" s="384">
        <f>VLOOKUP($A536,'8.Non-elective admissions - CCG'!$D$5:$N$215,8,0)*$H536</f>
        <v>25.444529402870629</v>
      </c>
      <c r="P536" s="384">
        <f>VLOOKUP($A536,'8.Non-elective admissions - CCG'!$D$5:$N$215,9,0)*$H536</f>
        <v>25.444529402870629</v>
      </c>
      <c r="Q536" s="384">
        <f>VLOOKUP($A536,'8.Non-elective admissions - CCG'!$D$5:$N$215,10,0)*$H536</f>
        <v>24.891387459173757</v>
      </c>
      <c r="R536" s="384">
        <f>VLOOKUP($A536,'8.Non-elective admissions - CCG'!$D$5:$Q$215,11,0)*$H536</f>
        <v>25.582420430833174</v>
      </c>
      <c r="S536" s="384">
        <f>VLOOKUP($A536,'8.Non-elective admissions - CCG'!$D$5:$Q$215,12,0)*$H536</f>
        <v>25.863545930206666</v>
      </c>
      <c r="T536" s="384">
        <f>VLOOKUP($A536,'8.Non-elective admissions - CCG'!$D$5:$Q$215,13,0)*$H536</f>
        <v>25.863545930206666</v>
      </c>
      <c r="U536" s="384">
        <f>VLOOKUP($A536,'8.Non-elective admissions - CCG'!$D$5:$Q$215,14,0)*$H536</f>
        <v>25.301294931789609</v>
      </c>
    </row>
    <row r="537" spans="1:21">
      <c r="A537" s="395" t="s">
        <v>446</v>
      </c>
      <c r="B537" s="395" t="s">
        <v>445</v>
      </c>
      <c r="C537" s="395" t="s">
        <v>775</v>
      </c>
      <c r="D537" s="395" t="s">
        <v>441</v>
      </c>
      <c r="E537" s="537">
        <f>COUNTIF($D$5:D537,D537)</f>
        <v>14</v>
      </c>
      <c r="F537" s="537" t="str">
        <f t="shared" si="16"/>
        <v>Surrey14</v>
      </c>
      <c r="G537" s="541" t="str">
        <f t="shared" si="17"/>
        <v>NHS North West Surrey CCG</v>
      </c>
      <c r="H537" s="546">
        <v>0.99482152353005038</v>
      </c>
      <c r="I537" s="546">
        <v>0.29465477005285856</v>
      </c>
      <c r="J537" s="384">
        <f>VLOOKUP($A537,'8.Non-elective admissions - CCG'!$D$5:$N$215,3,0)*$H537</f>
        <v>6765.7811815278728</v>
      </c>
      <c r="K537" s="384">
        <f>VLOOKUP($A537,'8.Non-elective admissions - CCG'!$D$5:$N$215,4,0)*$H537</f>
        <v>6620.5372390924849</v>
      </c>
      <c r="L537" s="384">
        <f>VLOOKUP($A537,'8.Non-elective admissions - CCG'!$D$5:$N$215,5,0)*$H537</f>
        <v>6715.0452838278397</v>
      </c>
      <c r="M537" s="384">
        <f>VLOOKUP($A537,'8.Non-elective admissions - CCG'!$D$5:$N$215,6,0)*$H537</f>
        <v>6583.7288427218737</v>
      </c>
      <c r="N537" s="384">
        <f>VLOOKUP($A537,'8.Non-elective admissions - CCG'!$D$5:$N$215,7,0)*$H537</f>
        <v>7589.0208765126299</v>
      </c>
      <c r="O537" s="384">
        <f>VLOOKUP($A537,'8.Non-elective admissions - CCG'!$D$5:$N$215,8,0)*$H537</f>
        <v>7672.4167102990123</v>
      </c>
      <c r="P537" s="384">
        <f>VLOOKUP($A537,'8.Non-elective admissions - CCG'!$D$5:$N$215,9,0)*$H537</f>
        <v>7672.4167102990132</v>
      </c>
      <c r="Q537" s="384">
        <f>VLOOKUP($A537,'8.Non-elective admissions - CCG'!$D$5:$N$215,10,0)*$H537</f>
        <v>7505.6250426367151</v>
      </c>
      <c r="R537" s="384">
        <f>VLOOKUP($A537,'8.Non-elective admissions - CCG'!$D$5:$Q$215,11,0)*$H537</f>
        <v>7713.9956843247919</v>
      </c>
      <c r="S537" s="384">
        <f>VLOOKUP($A537,'8.Non-elective admissions - CCG'!$D$5:$Q$215,12,0)*$H537</f>
        <v>7798.7648677092957</v>
      </c>
      <c r="T537" s="384">
        <f>VLOOKUP($A537,'8.Non-elective admissions - CCG'!$D$5:$Q$215,13,0)*$H537</f>
        <v>7798.7648677092957</v>
      </c>
      <c r="U537" s="384">
        <f>VLOOKUP($A537,'8.Non-elective admissions - CCG'!$D$5:$Q$215,14,0)*$H537</f>
        <v>7629.2265010397732</v>
      </c>
    </row>
    <row r="538" spans="1:21">
      <c r="A538" s="395" t="s">
        <v>446</v>
      </c>
      <c r="B538" s="395" t="s">
        <v>445</v>
      </c>
      <c r="C538" s="395" t="s">
        <v>795</v>
      </c>
      <c r="D538" s="395" t="s">
        <v>501</v>
      </c>
      <c r="E538" s="537">
        <f>COUNTIF($D$5:D538,D538)</f>
        <v>3</v>
      </c>
      <c r="F538" s="537" t="str">
        <f t="shared" si="16"/>
        <v>Windsor and Maidenhead3</v>
      </c>
      <c r="G538" s="541" t="str">
        <f t="shared" si="17"/>
        <v>NHS North West Surrey CCG</v>
      </c>
      <c r="H538" s="546">
        <v>1.8792858157074884E-3</v>
      </c>
      <c r="I538" s="546">
        <v>4.3328390687284559E-3</v>
      </c>
      <c r="J538" s="384">
        <f>VLOOKUP($A538,'8.Non-elective admissions - CCG'!$D$5:$N$215,3,0)*$H538</f>
        <v>12.781022832626629</v>
      </c>
      <c r="K538" s="384">
        <f>VLOOKUP($A538,'8.Non-elective admissions - CCG'!$D$5:$N$215,4,0)*$H538</f>
        <v>12.506647103533336</v>
      </c>
      <c r="L538" s="384">
        <f>VLOOKUP($A538,'8.Non-elective admissions - CCG'!$D$5:$N$215,5,0)*$H538</f>
        <v>12.685179256025547</v>
      </c>
      <c r="M538" s="384">
        <f>VLOOKUP($A538,'8.Non-elective admissions - CCG'!$D$5:$N$215,6,0)*$H538</f>
        <v>12.437113528352159</v>
      </c>
      <c r="N538" s="384">
        <f>VLOOKUP($A538,'8.Non-elective admissions - CCG'!$D$5:$N$215,7,0)*$H538</f>
        <v>14.336178853198474</v>
      </c>
      <c r="O538" s="384">
        <f>VLOOKUP($A538,'8.Non-elective admissions - CCG'!$D$5:$N$215,8,0)*$H538</f>
        <v>14.49371928011618</v>
      </c>
      <c r="P538" s="384">
        <f>VLOOKUP($A538,'8.Non-elective admissions - CCG'!$D$5:$N$215,9,0)*$H538</f>
        <v>14.493719280116181</v>
      </c>
      <c r="Q538" s="384">
        <f>VLOOKUP($A538,'8.Non-elective admissions - CCG'!$D$5:$N$215,10,0)*$H538</f>
        <v>14.178638426111632</v>
      </c>
      <c r="R538" s="384">
        <f>VLOOKUP($A538,'8.Non-elective admissions - CCG'!$D$5:$Q$215,11,0)*$H538</f>
        <v>14.572264802373327</v>
      </c>
      <c r="S538" s="384">
        <f>VLOOKUP($A538,'8.Non-elective admissions - CCG'!$D$5:$Q$215,12,0)*$H538</f>
        <v>14.732399580497468</v>
      </c>
      <c r="T538" s="384">
        <f>VLOOKUP($A538,'8.Non-elective admissions - CCG'!$D$5:$Q$215,13,0)*$H538</f>
        <v>14.732399580497468</v>
      </c>
      <c r="U538" s="384">
        <f>VLOOKUP($A538,'8.Non-elective admissions - CCG'!$D$5:$Q$215,14,0)*$H538</f>
        <v>14.41213002443712</v>
      </c>
    </row>
    <row r="539" spans="1:21">
      <c r="A539" s="395" t="s">
        <v>449</v>
      </c>
      <c r="B539" s="395" t="s">
        <v>448</v>
      </c>
      <c r="C539" s="395" t="s">
        <v>676</v>
      </c>
      <c r="D539" s="395" t="s">
        <v>121</v>
      </c>
      <c r="E539" s="537">
        <f>COUNTIF($D$5:D539,D539)</f>
        <v>2</v>
      </c>
      <c r="F539" s="537" t="str">
        <f t="shared" si="16"/>
        <v>Cornwall2</v>
      </c>
      <c r="G539" s="541" t="str">
        <f t="shared" si="17"/>
        <v>NHS North, East, West Devon CCG</v>
      </c>
      <c r="H539" s="546">
        <v>3.3523287598700101E-3</v>
      </c>
      <c r="I539" s="546">
        <v>5.4190732118752421E-3</v>
      </c>
      <c r="J539" s="384">
        <f>VLOOKUP($A539,'8.Non-elective admissions - CCG'!$D$5:$N$215,3,0)*$H539</f>
        <v>81.716365850591373</v>
      </c>
      <c r="K539" s="384">
        <f>VLOOKUP($A539,'8.Non-elective admissions - CCG'!$D$5:$N$215,4,0)*$H539</f>
        <v>86.030812964544069</v>
      </c>
      <c r="L539" s="384">
        <f>VLOOKUP($A539,'8.Non-elective admissions - CCG'!$D$5:$N$215,5,0)*$H539</f>
        <v>87.184014057939351</v>
      </c>
      <c r="M539" s="384">
        <f>VLOOKUP($A539,'8.Non-elective admissions - CCG'!$D$5:$N$215,6,0)*$H539</f>
        <v>82.882976259026137</v>
      </c>
      <c r="N539" s="384">
        <f>VLOOKUP($A539,'8.Non-elective admissions - CCG'!$D$5:$N$215,7,0)*$H539</f>
        <v>71.485058475468094</v>
      </c>
      <c r="O539" s="384">
        <f>VLOOKUP($A539,'8.Non-elective admissions - CCG'!$D$5:$N$215,8,0)*$H539</f>
        <v>73.385828882314385</v>
      </c>
      <c r="P539" s="384">
        <f>VLOOKUP($A539,'8.Non-elective admissions - CCG'!$D$5:$N$215,9,0)*$H539</f>
        <v>73.700947785742173</v>
      </c>
      <c r="Q539" s="384">
        <f>VLOOKUP($A539,'8.Non-elective admissions - CCG'!$D$5:$N$215,10,0)*$H539</f>
        <v>72.939969157251682</v>
      </c>
      <c r="R539" s="384">
        <f>VLOOKUP($A539,'8.Non-elective admissions - CCG'!$D$5:$Q$215,11,0)*$H539</f>
        <v>72.212513816359888</v>
      </c>
      <c r="S539" s="384">
        <f>VLOOKUP($A539,'8.Non-elective admissions - CCG'!$D$5:$Q$215,12,0)*$H539</f>
        <v>74.133398195765409</v>
      </c>
      <c r="T539" s="384">
        <f>VLOOKUP($A539,'8.Non-elective admissions - CCG'!$D$5:$Q$215,13,0)*$H539</f>
        <v>74.45857408547279</v>
      </c>
      <c r="U539" s="384">
        <f>VLOOKUP($A539,'8.Non-elective admissions - CCG'!$D$5:$Q$215,14,0)*$H539</f>
        <v>73.161222855403096</v>
      </c>
    </row>
    <row r="540" spans="1:21">
      <c r="A540" s="395" t="s">
        <v>449</v>
      </c>
      <c r="B540" s="395" t="s">
        <v>448</v>
      </c>
      <c r="C540" s="395" t="s">
        <v>684</v>
      </c>
      <c r="D540" s="395" t="s">
        <v>150</v>
      </c>
      <c r="E540" s="537">
        <f>COUNTIF($D$5:D540,D540)</f>
        <v>3</v>
      </c>
      <c r="F540" s="537" t="str">
        <f t="shared" si="16"/>
        <v>Devon3</v>
      </c>
      <c r="G540" s="541" t="str">
        <f t="shared" si="17"/>
        <v>NHS North, East, West Devon CCG</v>
      </c>
      <c r="H540" s="546">
        <v>0.69837424740826048</v>
      </c>
      <c r="I540" s="546">
        <v>0.80499040648773179</v>
      </c>
      <c r="J540" s="384">
        <f>VLOOKUP($A540,'8.Non-elective admissions - CCG'!$D$5:$N$215,3,0)*$H540</f>
        <v>17023.570654823758</v>
      </c>
      <c r="K540" s="384">
        <f>VLOOKUP($A540,'8.Non-elective admissions - CCG'!$D$5:$N$215,4,0)*$H540</f>
        <v>17922.37831123819</v>
      </c>
      <c r="L540" s="384">
        <f>VLOOKUP($A540,'8.Non-elective admissions - CCG'!$D$5:$N$215,5,0)*$H540</f>
        <v>18162.619052346632</v>
      </c>
      <c r="M540" s="384">
        <f>VLOOKUP($A540,'8.Non-elective admissions - CCG'!$D$5:$N$215,6,0)*$H540</f>
        <v>17266.60489292183</v>
      </c>
      <c r="N540" s="384">
        <f>VLOOKUP($A540,'8.Non-elective admissions - CCG'!$D$5:$N$215,7,0)*$H540</f>
        <v>14892.132451733747</v>
      </c>
      <c r="O540" s="384">
        <f>VLOOKUP($A540,'8.Non-elective admissions - CCG'!$D$5:$N$215,8,0)*$H540</f>
        <v>15288.11065001423</v>
      </c>
      <c r="P540" s="384">
        <f>VLOOKUP($A540,'8.Non-elective admissions - CCG'!$D$5:$N$215,9,0)*$H540</f>
        <v>15353.757829270608</v>
      </c>
      <c r="Q540" s="384">
        <f>VLOOKUP($A540,'8.Non-elective admissions - CCG'!$D$5:$N$215,10,0)*$H540</f>
        <v>15195.226875108932</v>
      </c>
      <c r="R540" s="384">
        <f>VLOOKUP($A540,'8.Non-elective admissions - CCG'!$D$5:$Q$215,11,0)*$H540</f>
        <v>15043.679663421339</v>
      </c>
      <c r="S540" s="384">
        <f>VLOOKUP($A540,'8.Non-elective admissions - CCG'!$D$5:$Q$215,12,0)*$H540</f>
        <v>15443.848107186272</v>
      </c>
      <c r="T540" s="384">
        <f>VLOOKUP($A540,'8.Non-elective admissions - CCG'!$D$5:$Q$215,13,0)*$H540</f>
        <v>15511.590409184873</v>
      </c>
      <c r="U540" s="384">
        <f>VLOOKUP($A540,'8.Non-elective admissions - CCG'!$D$5:$Q$215,14,0)*$H540</f>
        <v>15241.319575437878</v>
      </c>
    </row>
    <row r="541" spans="1:21">
      <c r="A541" s="395" t="s">
        <v>449</v>
      </c>
      <c r="B541" s="395" t="s">
        <v>448</v>
      </c>
      <c r="C541" s="395" t="s">
        <v>746</v>
      </c>
      <c r="D541" s="395" t="s">
        <v>354</v>
      </c>
      <c r="E541" s="537">
        <f>COUNTIF($D$5:D541,D541)</f>
        <v>1</v>
      </c>
      <c r="F541" s="537" t="str">
        <f t="shared" si="16"/>
        <v>Plymouth1</v>
      </c>
      <c r="G541" s="541" t="str">
        <f t="shared" si="17"/>
        <v>NHS North, East, West Devon CCG</v>
      </c>
      <c r="H541" s="546">
        <v>0.29550243013499766</v>
      </c>
      <c r="I541" s="546">
        <v>0.99999999999999989</v>
      </c>
      <c r="J541" s="384">
        <f>VLOOKUP($A541,'8.Non-elective admissions - CCG'!$D$5:$N$215,3,0)*$H541</f>
        <v>7203.167236970703</v>
      </c>
      <c r="K541" s="384">
        <f>VLOOKUP($A541,'8.Non-elective admissions - CCG'!$D$5:$N$215,4,0)*$H541</f>
        <v>7583.478864554445</v>
      </c>
      <c r="L541" s="384">
        <f>VLOOKUP($A541,'8.Non-elective admissions - CCG'!$D$5:$N$215,5,0)*$H541</f>
        <v>7685.1317005208839</v>
      </c>
      <c r="M541" s="384">
        <f>VLOOKUP($A541,'8.Non-elective admissions - CCG'!$D$5:$N$215,6,0)*$H541</f>
        <v>7306.002082657682</v>
      </c>
      <c r="N541" s="384">
        <f>VLOOKUP($A541,'8.Non-elective admissions - CCG'!$D$5:$N$215,7,0)*$H541</f>
        <v>6301.2938201986899</v>
      </c>
      <c r="O541" s="384">
        <f>VLOOKUP($A541,'8.Non-elective admissions - CCG'!$D$5:$N$215,8,0)*$H541</f>
        <v>6468.8436980852339</v>
      </c>
      <c r="P541" s="384">
        <f>VLOOKUP($A541,'8.Non-elective admissions - CCG'!$D$5:$N$215,9,0)*$H541</f>
        <v>6496.6209265179232</v>
      </c>
      <c r="Q541" s="384">
        <f>VLOOKUP($A541,'8.Non-elective admissions - CCG'!$D$5:$N$215,10,0)*$H541</f>
        <v>6429.541874877279</v>
      </c>
      <c r="R541" s="384">
        <f>VLOOKUP($A541,'8.Non-elective admissions - CCG'!$D$5:$Q$215,11,0)*$H541</f>
        <v>6365.4178475379849</v>
      </c>
      <c r="S541" s="384">
        <f>VLOOKUP($A541,'8.Non-elective admissions - CCG'!$D$5:$Q$215,12,0)*$H541</f>
        <v>6534.740740005338</v>
      </c>
      <c r="T541" s="384">
        <f>VLOOKUP($A541,'8.Non-elective admissions - CCG'!$D$5:$Q$215,13,0)*$H541</f>
        <v>6563.4044757284328</v>
      </c>
      <c r="U541" s="384">
        <f>VLOOKUP($A541,'8.Non-elective admissions - CCG'!$D$5:$Q$215,14,0)*$H541</f>
        <v>6449.0450352661892</v>
      </c>
    </row>
    <row r="542" spans="1:21">
      <c r="A542" s="395" t="s">
        <v>449</v>
      </c>
      <c r="B542" s="395" t="s">
        <v>448</v>
      </c>
      <c r="C542" s="395" t="s">
        <v>762</v>
      </c>
      <c r="D542" s="395" t="s">
        <v>402</v>
      </c>
      <c r="E542" s="537">
        <f>COUNTIF($D$5:D542,D542)</f>
        <v>4</v>
      </c>
      <c r="F542" s="537" t="str">
        <f t="shared" si="16"/>
        <v>Somerset4</v>
      </c>
      <c r="G542" s="541" t="str">
        <f t="shared" si="17"/>
        <v>NHS North, East, West Devon CCG</v>
      </c>
      <c r="H542" s="546">
        <v>2.7709936968718218E-3</v>
      </c>
      <c r="I542" s="546">
        <v>4.4895544581883429E-3</v>
      </c>
      <c r="J542" s="384">
        <f>VLOOKUP($A542,'8.Non-elective admissions - CCG'!$D$5:$N$215,3,0)*$H542</f>
        <v>67.545742354947521</v>
      </c>
      <c r="K542" s="384">
        <f>VLOOKUP($A542,'8.Non-elective admissions - CCG'!$D$5:$N$215,4,0)*$H542</f>
        <v>71.112011242821566</v>
      </c>
      <c r="L542" s="384">
        <f>VLOOKUP($A542,'8.Non-elective admissions - CCG'!$D$5:$N$215,5,0)*$H542</f>
        <v>72.065233074545475</v>
      </c>
      <c r="M542" s="384">
        <f>VLOOKUP($A542,'8.Non-elective admissions - CCG'!$D$5:$N$215,6,0)*$H542</f>
        <v>68.510048161458926</v>
      </c>
      <c r="N542" s="384">
        <f>VLOOKUP($A542,'8.Non-elective admissions - CCG'!$D$5:$N$215,7,0)*$H542</f>
        <v>59.088669592094725</v>
      </c>
      <c r="O542" s="384">
        <f>VLOOKUP($A542,'8.Non-elective admissions - CCG'!$D$5:$N$215,8,0)*$H542</f>
        <v>60.659823018221047</v>
      </c>
      <c r="P542" s="384">
        <f>VLOOKUP($A542,'8.Non-elective admissions - CCG'!$D$5:$N$215,9,0)*$H542</f>
        <v>60.920296425727003</v>
      </c>
      <c r="Q542" s="384">
        <f>VLOOKUP($A542,'8.Non-elective admissions - CCG'!$D$5:$N$215,10,0)*$H542</f>
        <v>60.291280856537099</v>
      </c>
      <c r="R542" s="384">
        <f>VLOOKUP($A542,'8.Non-elective admissions - CCG'!$D$5:$Q$215,11,0)*$H542</f>
        <v>59.689975224315916</v>
      </c>
      <c r="S542" s="384">
        <f>VLOOKUP($A542,'8.Non-elective admissions - CCG'!$D$5:$Q$215,12,0)*$H542</f>
        <v>61.277754612623468</v>
      </c>
      <c r="T542" s="384">
        <f>VLOOKUP($A542,'8.Non-elective admissions - CCG'!$D$5:$Q$215,13,0)*$H542</f>
        <v>61.546541001220035</v>
      </c>
      <c r="U542" s="384">
        <f>VLOOKUP($A542,'8.Non-elective admissions - CCG'!$D$5:$Q$215,14,0)*$H542</f>
        <v>60.474166440530638</v>
      </c>
    </row>
    <row r="543" spans="1:21">
      <c r="A543" s="395" t="s">
        <v>452</v>
      </c>
      <c r="B543" s="395" t="s">
        <v>451</v>
      </c>
      <c r="C543" s="395" t="s">
        <v>693</v>
      </c>
      <c r="D543" s="395" t="s">
        <v>184</v>
      </c>
      <c r="E543" s="537">
        <f>COUNTIF($D$5:D543,D543)</f>
        <v>3</v>
      </c>
      <c r="F543" s="537" t="str">
        <f t="shared" si="16"/>
        <v>Gateshead3</v>
      </c>
      <c r="G543" s="541" t="str">
        <f t="shared" si="17"/>
        <v>NHS Northumberland CCG</v>
      </c>
      <c r="H543" s="546">
        <v>4.524196986150481E-3</v>
      </c>
      <c r="I543" s="546">
        <v>7.157378646989618E-3</v>
      </c>
      <c r="J543" s="384">
        <f>VLOOKUP($A543,'8.Non-elective admissions - CCG'!$D$5:$N$215,3,0)*$H543</f>
        <v>37.143657256295448</v>
      </c>
      <c r="K543" s="384">
        <f>VLOOKUP($A543,'8.Non-elective admissions - CCG'!$D$5:$N$215,4,0)*$H543</f>
        <v>37.736327061481163</v>
      </c>
      <c r="L543" s="384">
        <f>VLOOKUP($A543,'8.Non-elective admissions - CCG'!$D$5:$N$215,5,0)*$H543</f>
        <v>38.347093654611477</v>
      </c>
      <c r="M543" s="384">
        <f>VLOOKUP($A543,'8.Non-elective admissions - CCG'!$D$5:$N$215,6,0)*$H543</f>
        <v>40.039143327431759</v>
      </c>
      <c r="N543" s="384">
        <f>VLOOKUP($A543,'8.Non-elective admissions - CCG'!$D$5:$N$215,7,0)*$H543</f>
        <v>36.786245694389564</v>
      </c>
      <c r="O543" s="384">
        <f>VLOOKUP($A543,'8.Non-elective admissions - CCG'!$D$5:$N$215,8,0)*$H543</f>
        <v>37.184375029170802</v>
      </c>
      <c r="P543" s="384">
        <f>VLOOKUP($A543,'8.Non-elective admissions - CCG'!$D$5:$N$215,9,0)*$H543</f>
        <v>35.980938630854773</v>
      </c>
      <c r="Q543" s="384">
        <f>VLOOKUP($A543,'8.Non-elective admissions - CCG'!$D$5:$N$215,10,0)*$H543</f>
        <v>38.116359608317801</v>
      </c>
      <c r="R543" s="384">
        <f>VLOOKUP($A543,'8.Non-elective admissions - CCG'!$D$5:$Q$215,11,0)*$H543</f>
        <v>36.890302225071025</v>
      </c>
      <c r="S543" s="384">
        <f>VLOOKUP($A543,'8.Non-elective admissions - CCG'!$D$5:$Q$215,12,0)*$H543</f>
        <v>37.292955756838417</v>
      </c>
      <c r="T543" s="384">
        <f>VLOOKUP($A543,'8.Non-elective admissions - CCG'!$D$5:$Q$215,13,0)*$H543</f>
        <v>36.084995161536234</v>
      </c>
      <c r="U543" s="384">
        <f>VLOOKUP($A543,'8.Non-elective admissions - CCG'!$D$5:$Q$215,14,0)*$H543</f>
        <v>38.224940335985416</v>
      </c>
    </row>
    <row r="544" spans="1:21">
      <c r="A544" s="395" t="s">
        <v>452</v>
      </c>
      <c r="B544" s="395" t="s">
        <v>451</v>
      </c>
      <c r="C544" s="395" t="s">
        <v>731</v>
      </c>
      <c r="D544" s="395" t="s">
        <v>309</v>
      </c>
      <c r="E544" s="537">
        <f>COUNTIF($D$5:D544,D544)</f>
        <v>4</v>
      </c>
      <c r="F544" s="537" t="str">
        <f t="shared" si="16"/>
        <v>Newcastle upon Tyne4</v>
      </c>
      <c r="G544" s="541" t="str">
        <f t="shared" si="17"/>
        <v>NHS Northumberland CCG</v>
      </c>
      <c r="H544" s="546">
        <v>8.273617459542042E-3</v>
      </c>
      <c r="I544" s="546">
        <v>8.7256999593085059E-3</v>
      </c>
      <c r="J544" s="384">
        <f>VLOOKUP($A544,'8.Non-elective admissions - CCG'!$D$5:$N$215,3,0)*$H544</f>
        <v>67.92639934284017</v>
      </c>
      <c r="K544" s="384">
        <f>VLOOKUP($A544,'8.Non-elective admissions - CCG'!$D$5:$N$215,4,0)*$H544</f>
        <v>69.010243230040174</v>
      </c>
      <c r="L544" s="384">
        <f>VLOOKUP($A544,'8.Non-elective admissions - CCG'!$D$5:$N$215,5,0)*$H544</f>
        <v>70.127181587078354</v>
      </c>
      <c r="M544" s="384">
        <f>VLOOKUP($A544,'8.Non-elective admissions - CCG'!$D$5:$N$215,6,0)*$H544</f>
        <v>73.221514516947067</v>
      </c>
      <c r="N544" s="384">
        <f>VLOOKUP($A544,'8.Non-elective admissions - CCG'!$D$5:$N$215,7,0)*$H544</f>
        <v>67.27278356353635</v>
      </c>
      <c r="O544" s="384">
        <f>VLOOKUP($A544,'8.Non-elective admissions - CCG'!$D$5:$N$215,8,0)*$H544</f>
        <v>68.000861899976044</v>
      </c>
      <c r="P544" s="384">
        <f>VLOOKUP($A544,'8.Non-elective admissions - CCG'!$D$5:$N$215,9,0)*$H544</f>
        <v>65.800079655737861</v>
      </c>
      <c r="Q544" s="384">
        <f>VLOOKUP($A544,'8.Non-elective admissions - CCG'!$D$5:$N$215,10,0)*$H544</f>
        <v>69.705227096641707</v>
      </c>
      <c r="R544" s="384">
        <f>VLOOKUP($A544,'8.Non-elective admissions - CCG'!$D$5:$Q$215,11,0)*$H544</f>
        <v>67.463076765105811</v>
      </c>
      <c r="S544" s="384">
        <f>VLOOKUP($A544,'8.Non-elective admissions - CCG'!$D$5:$Q$215,12,0)*$H544</f>
        <v>68.199428719005056</v>
      </c>
      <c r="T544" s="384">
        <f>VLOOKUP($A544,'8.Non-elective admissions - CCG'!$D$5:$Q$215,13,0)*$H544</f>
        <v>65.990372857307321</v>
      </c>
      <c r="U544" s="384">
        <f>VLOOKUP($A544,'8.Non-elective admissions - CCG'!$D$5:$Q$215,14,0)*$H544</f>
        <v>69.903793915670718</v>
      </c>
    </row>
    <row r="545" spans="1:21">
      <c r="A545" s="395" t="s">
        <v>452</v>
      </c>
      <c r="B545" s="395" t="s">
        <v>451</v>
      </c>
      <c r="C545" s="395" t="s">
        <v>737</v>
      </c>
      <c r="D545" s="395" t="s">
        <v>327</v>
      </c>
      <c r="E545" s="537">
        <f>COUNTIF($D$5:D545,D545)</f>
        <v>4</v>
      </c>
      <c r="F545" s="537" t="str">
        <f t="shared" si="16"/>
        <v>North Tyneside4</v>
      </c>
      <c r="G545" s="541" t="str">
        <f t="shared" si="17"/>
        <v>NHS Northumberland CCG</v>
      </c>
      <c r="H545" s="546">
        <v>7.6917571869078325E-3</v>
      </c>
      <c r="I545" s="546">
        <v>1.1866929096058758E-2</v>
      </c>
      <c r="J545" s="384">
        <f>VLOOKUP($A545,'8.Non-elective admissions - CCG'!$D$5:$N$215,3,0)*$H545</f>
        <v>63.149326504513304</v>
      </c>
      <c r="K545" s="384">
        <f>VLOOKUP($A545,'8.Non-elective admissions - CCG'!$D$5:$N$215,4,0)*$H545</f>
        <v>64.156946695998229</v>
      </c>
      <c r="L545" s="384">
        <f>VLOOKUP($A545,'8.Non-elective admissions - CCG'!$D$5:$N$215,5,0)*$H545</f>
        <v>65.195333916230794</v>
      </c>
      <c r="M545" s="384">
        <f>VLOOKUP($A545,'8.Non-elective admissions - CCG'!$D$5:$N$215,6,0)*$H545</f>
        <v>68.072051104134317</v>
      </c>
      <c r="N545" s="384">
        <f>VLOOKUP($A545,'8.Non-elective admissions - CCG'!$D$5:$N$215,7,0)*$H545</f>
        <v>62.541677686747583</v>
      </c>
      <c r="O545" s="384">
        <f>VLOOKUP($A545,'8.Non-elective admissions - CCG'!$D$5:$N$215,8,0)*$H545</f>
        <v>63.218552319195474</v>
      </c>
      <c r="P545" s="384">
        <f>VLOOKUP($A545,'8.Non-elective admissions - CCG'!$D$5:$N$215,9,0)*$H545</f>
        <v>61.172544907477992</v>
      </c>
      <c r="Q545" s="384">
        <f>VLOOKUP($A545,'8.Non-elective admissions - CCG'!$D$5:$N$215,10,0)*$H545</f>
        <v>64.803054299698488</v>
      </c>
      <c r="R545" s="384">
        <f>VLOOKUP($A545,'8.Non-elective admissions - CCG'!$D$5:$Q$215,11,0)*$H545</f>
        <v>62.718588102046468</v>
      </c>
      <c r="S545" s="384">
        <f>VLOOKUP($A545,'8.Non-elective admissions - CCG'!$D$5:$Q$215,12,0)*$H545</f>
        <v>63.403154491681263</v>
      </c>
      <c r="T545" s="384">
        <f>VLOOKUP($A545,'8.Non-elective admissions - CCG'!$D$5:$Q$215,13,0)*$H545</f>
        <v>61.349455322776869</v>
      </c>
      <c r="U545" s="384">
        <f>VLOOKUP($A545,'8.Non-elective admissions - CCG'!$D$5:$Q$215,14,0)*$H545</f>
        <v>64.987656472184284</v>
      </c>
    </row>
    <row r="546" spans="1:21">
      <c r="A546" s="395" t="s">
        <v>452</v>
      </c>
      <c r="B546" s="395" t="s">
        <v>451</v>
      </c>
      <c r="C546" s="395" t="s">
        <v>740</v>
      </c>
      <c r="D546" s="395" t="s">
        <v>336</v>
      </c>
      <c r="E546" s="537">
        <f>COUNTIF($D$5:D546,D546)</f>
        <v>5</v>
      </c>
      <c r="F546" s="537" t="str">
        <f t="shared" si="16"/>
        <v>Northumberland5</v>
      </c>
      <c r="G546" s="541" t="str">
        <f t="shared" si="17"/>
        <v>NHS Northumberland CCG</v>
      </c>
      <c r="H546" s="546">
        <v>0.97951042836739965</v>
      </c>
      <c r="I546" s="546">
        <v>0.98788669984748534</v>
      </c>
      <c r="J546" s="384">
        <f>VLOOKUP($A546,'8.Non-elective admissions - CCG'!$D$5:$N$215,3,0)*$H546</f>
        <v>8041.7806168963516</v>
      </c>
      <c r="K546" s="384">
        <f>VLOOKUP($A546,'8.Non-elective admissions - CCG'!$D$5:$N$215,4,0)*$H546</f>
        <v>8170.0964830124803</v>
      </c>
      <c r="L546" s="384">
        <f>VLOOKUP($A546,'8.Non-elective admissions - CCG'!$D$5:$N$215,5,0)*$H546</f>
        <v>8302.3303908420803</v>
      </c>
      <c r="M546" s="384">
        <f>VLOOKUP($A546,'8.Non-elective admissions - CCG'!$D$5:$N$215,6,0)*$H546</f>
        <v>8668.6672910514862</v>
      </c>
      <c r="N546" s="384">
        <f>VLOOKUP($A546,'8.Non-elective admissions - CCG'!$D$5:$N$215,7,0)*$H546</f>
        <v>7964.3992930553268</v>
      </c>
      <c r="O546" s="384">
        <f>VLOOKUP($A546,'8.Non-elective admissions - CCG'!$D$5:$N$215,8,0)*$H546</f>
        <v>8050.596210751658</v>
      </c>
      <c r="P546" s="384">
        <f>VLOOKUP($A546,'8.Non-elective admissions - CCG'!$D$5:$N$215,9,0)*$H546</f>
        <v>7790.0464368059293</v>
      </c>
      <c r="Q546" s="384">
        <f>VLOOKUP($A546,'8.Non-elective admissions - CCG'!$D$5:$N$215,10,0)*$H546</f>
        <v>8252.3753589953412</v>
      </c>
      <c r="R546" s="384">
        <f>VLOOKUP($A546,'8.Non-elective admissions - CCG'!$D$5:$Q$215,11,0)*$H546</f>
        <v>7986.9280329077765</v>
      </c>
      <c r="S546" s="384">
        <f>VLOOKUP($A546,'8.Non-elective admissions - CCG'!$D$5:$Q$215,12,0)*$H546</f>
        <v>8074.1044610324752</v>
      </c>
      <c r="T546" s="384">
        <f>VLOOKUP($A546,'8.Non-elective admissions - CCG'!$D$5:$Q$215,13,0)*$H546</f>
        <v>7812.5751766583799</v>
      </c>
      <c r="U546" s="384">
        <f>VLOOKUP($A546,'8.Non-elective admissions - CCG'!$D$5:$Q$215,14,0)*$H546</f>
        <v>8275.8836092761594</v>
      </c>
    </row>
    <row r="547" spans="1:21">
      <c r="A547" s="395" t="s">
        <v>455</v>
      </c>
      <c r="B547" s="395" t="s">
        <v>454</v>
      </c>
      <c r="C547" s="395" t="s">
        <v>733</v>
      </c>
      <c r="D547" s="395" t="s">
        <v>315</v>
      </c>
      <c r="E547" s="537">
        <f>COUNTIF($D$5:D547,D547)</f>
        <v>5</v>
      </c>
      <c r="F547" s="537" t="str">
        <f t="shared" si="16"/>
        <v>Norfolk5</v>
      </c>
      <c r="G547" s="541" t="str">
        <f t="shared" si="17"/>
        <v>NHS Norwich CCG</v>
      </c>
      <c r="H547" s="546">
        <v>1</v>
      </c>
      <c r="I547" s="546">
        <v>0.23721878203722521</v>
      </c>
      <c r="J547" s="384">
        <f>VLOOKUP($A547,'8.Non-elective admissions - CCG'!$D$5:$N$215,3,0)*$H547</f>
        <v>4920</v>
      </c>
      <c r="K547" s="384">
        <f>VLOOKUP($A547,'8.Non-elective admissions - CCG'!$D$5:$N$215,4,0)*$H547</f>
        <v>5094</v>
      </c>
      <c r="L547" s="384">
        <f>VLOOKUP($A547,'8.Non-elective admissions - CCG'!$D$5:$N$215,5,0)*$H547</f>
        <v>5206</v>
      </c>
      <c r="M547" s="384">
        <f>VLOOKUP($A547,'8.Non-elective admissions - CCG'!$D$5:$N$215,6,0)*$H547</f>
        <v>5120</v>
      </c>
      <c r="N547" s="384">
        <f>VLOOKUP($A547,'8.Non-elective admissions - CCG'!$D$5:$N$215,7,0)*$H547</f>
        <v>5432</v>
      </c>
      <c r="O547" s="384">
        <f>VLOOKUP($A547,'8.Non-elective admissions - CCG'!$D$5:$N$215,8,0)*$H547</f>
        <v>5361</v>
      </c>
      <c r="P547" s="384">
        <f>VLOOKUP($A547,'8.Non-elective admissions - CCG'!$D$5:$N$215,9,0)*$H547</f>
        <v>5464</v>
      </c>
      <c r="Q547" s="384">
        <f>VLOOKUP($A547,'8.Non-elective admissions - CCG'!$D$5:$N$215,10,0)*$H547</f>
        <v>5315</v>
      </c>
      <c r="R547" s="384">
        <f>VLOOKUP($A547,'8.Non-elective admissions - CCG'!$D$5:$Q$215,11,0)*$H547</f>
        <v>5329</v>
      </c>
      <c r="S547" s="384">
        <f>VLOOKUP($A547,'8.Non-elective admissions - CCG'!$D$5:$Q$215,12,0)*$H547</f>
        <v>5261</v>
      </c>
      <c r="T547" s="384">
        <f>VLOOKUP($A547,'8.Non-elective admissions - CCG'!$D$5:$Q$215,13,0)*$H547</f>
        <v>5361</v>
      </c>
      <c r="U547" s="384">
        <f>VLOOKUP($A547,'8.Non-elective admissions - CCG'!$D$5:$Q$215,14,0)*$H547</f>
        <v>5219</v>
      </c>
    </row>
    <row r="548" spans="1:21">
      <c r="A548" s="395" t="s">
        <v>458</v>
      </c>
      <c r="B548" s="395" t="s">
        <v>457</v>
      </c>
      <c r="C548" s="395" t="s">
        <v>741</v>
      </c>
      <c r="D548" s="395" t="s">
        <v>339</v>
      </c>
      <c r="E548" s="537">
        <f>COUNTIF($D$5:D548,D548)</f>
        <v>1</v>
      </c>
      <c r="F548" s="537" t="str">
        <f t="shared" si="16"/>
        <v>Nottingham1</v>
      </c>
      <c r="G548" s="541" t="str">
        <f t="shared" si="17"/>
        <v>NHS Nottingham City CCG</v>
      </c>
      <c r="H548" s="546">
        <v>0.89689050546583127</v>
      </c>
      <c r="I548" s="546">
        <v>0.9496154858154332</v>
      </c>
      <c r="J548" s="384">
        <f>VLOOKUP($A548,'8.Non-elective admissions - CCG'!$D$5:$N$215,3,0)*$H548</f>
        <v>7473.7885820467718</v>
      </c>
      <c r="K548" s="384">
        <f>VLOOKUP($A548,'8.Non-elective admissions - CCG'!$D$5:$N$215,4,0)*$H548</f>
        <v>7354.5021448198167</v>
      </c>
      <c r="L548" s="384">
        <f>VLOOKUP($A548,'8.Non-elective admissions - CCG'!$D$5:$N$215,5,0)*$H548</f>
        <v>7680.0733983039136</v>
      </c>
      <c r="M548" s="384">
        <f>VLOOKUP($A548,'8.Non-elective admissions - CCG'!$D$5:$N$215,6,0)*$H548</f>
        <v>6506.0437266491399</v>
      </c>
      <c r="N548" s="384">
        <f>VLOOKUP($A548,'8.Non-elective admissions - CCG'!$D$5:$N$215,7,0)*$H548</f>
        <v>7219.0716784944761</v>
      </c>
      <c r="O548" s="384">
        <f>VLOOKUP($A548,'8.Non-elective admissions - CCG'!$D$5:$N$215,8,0)*$H548</f>
        <v>7237.9063791092585</v>
      </c>
      <c r="P548" s="384">
        <f>VLOOKUP($A548,'8.Non-elective admissions - CCG'!$D$5:$N$215,9,0)*$H548</f>
        <v>7423.5627137406855</v>
      </c>
      <c r="Q548" s="384">
        <f>VLOOKUP($A548,'8.Non-elective admissions - CCG'!$D$5:$N$215,10,0)*$H548</f>
        <v>6088.989641607528</v>
      </c>
      <c r="R548" s="384">
        <f>VLOOKUP($A548,'8.Non-elective admissions - CCG'!$D$5:$Q$215,11,0)*$H548</f>
        <v>7069.2909640816824</v>
      </c>
      <c r="S548" s="384">
        <f>VLOOKUP($A548,'8.Non-elective admissions - CCG'!$D$5:$Q$215,12,0)*$H548</f>
        <v>7092.6101172237941</v>
      </c>
      <c r="T548" s="384">
        <f>VLOOKUP($A548,'8.Non-elective admissions - CCG'!$D$5:$Q$215,13,0)*$H548</f>
        <v>7279.1633423606863</v>
      </c>
      <c r="U548" s="384">
        <f>VLOOKUP($A548,'8.Non-elective admissions - CCG'!$D$5:$Q$215,14,0)*$H548</f>
        <v>5923.9617886018159</v>
      </c>
    </row>
    <row r="549" spans="1:21">
      <c r="A549" s="395" t="s">
        <v>458</v>
      </c>
      <c r="B549" s="395" t="s">
        <v>457</v>
      </c>
      <c r="C549" s="395" t="s">
        <v>742</v>
      </c>
      <c r="D549" s="395" t="s">
        <v>342</v>
      </c>
      <c r="E549" s="537">
        <f>COUNTIF($D$5:D549,D549)</f>
        <v>9</v>
      </c>
      <c r="F549" s="537" t="str">
        <f t="shared" si="16"/>
        <v>Nottinghamshire9</v>
      </c>
      <c r="G549" s="541" t="str">
        <f t="shared" si="17"/>
        <v>NHS Nottingham City CCG</v>
      </c>
      <c r="H549" s="546">
        <v>0.10310949453416887</v>
      </c>
      <c r="I549" s="546">
        <v>4.4607830560615555E-2</v>
      </c>
      <c r="J549" s="384">
        <f>VLOOKUP($A549,'8.Non-elective admissions - CCG'!$D$5:$N$215,3,0)*$H549</f>
        <v>859.21141795322922</v>
      </c>
      <c r="K549" s="384">
        <f>VLOOKUP($A549,'8.Non-elective admissions - CCG'!$D$5:$N$215,4,0)*$H549</f>
        <v>845.49785518018473</v>
      </c>
      <c r="L549" s="384">
        <f>VLOOKUP($A549,'8.Non-elective admissions - CCG'!$D$5:$N$215,5,0)*$H549</f>
        <v>882.92660169608803</v>
      </c>
      <c r="M549" s="384">
        <f>VLOOKUP($A549,'8.Non-elective admissions - CCG'!$D$5:$N$215,6,0)*$H549</f>
        <v>747.95627335086101</v>
      </c>
      <c r="N549" s="384">
        <f>VLOOKUP($A549,'8.Non-elective admissions - CCG'!$D$5:$N$215,7,0)*$H549</f>
        <v>829.92832150552522</v>
      </c>
      <c r="O549" s="384">
        <f>VLOOKUP($A549,'8.Non-elective admissions - CCG'!$D$5:$N$215,8,0)*$H549</f>
        <v>832.09362089074284</v>
      </c>
      <c r="P549" s="384">
        <f>VLOOKUP($A549,'8.Non-elective admissions - CCG'!$D$5:$N$215,9,0)*$H549</f>
        <v>853.43728625931578</v>
      </c>
      <c r="Q549" s="384">
        <f>VLOOKUP($A549,'8.Non-elective admissions - CCG'!$D$5:$N$215,10,0)*$H549</f>
        <v>700.01035839247243</v>
      </c>
      <c r="R549" s="384">
        <f>VLOOKUP($A549,'8.Non-elective admissions - CCG'!$D$5:$Q$215,11,0)*$H549</f>
        <v>812.70903591831905</v>
      </c>
      <c r="S549" s="384">
        <f>VLOOKUP($A549,'8.Non-elective admissions - CCG'!$D$5:$Q$215,12,0)*$H549</f>
        <v>815.3898827762074</v>
      </c>
      <c r="T549" s="384">
        <f>VLOOKUP($A549,'8.Non-elective admissions - CCG'!$D$5:$Q$215,13,0)*$H549</f>
        <v>836.83665763931458</v>
      </c>
      <c r="U549" s="384">
        <f>VLOOKUP($A549,'8.Non-elective admissions - CCG'!$D$5:$Q$215,14,0)*$H549</f>
        <v>681.03821139818535</v>
      </c>
    </row>
    <row r="550" spans="1:21">
      <c r="A550" s="395" t="s">
        <v>461</v>
      </c>
      <c r="B550" s="395" t="s">
        <v>1212</v>
      </c>
      <c r="C550" s="395" t="s">
        <v>683</v>
      </c>
      <c r="D550" s="395" t="s">
        <v>146</v>
      </c>
      <c r="E550" s="537">
        <f>COUNTIF($D$5:D550,D550)</f>
        <v>8</v>
      </c>
      <c r="F550" s="537" t="str">
        <f t="shared" si="16"/>
        <v>Derbyshire8</v>
      </c>
      <c r="G550" s="541" t="str">
        <f t="shared" si="17"/>
        <v>NHS Nottingham North and East CCG</v>
      </c>
      <c r="H550" s="546">
        <v>1.9368466516847865E-3</v>
      </c>
      <c r="I550" s="546">
        <v>0</v>
      </c>
      <c r="J550" s="384">
        <f>VLOOKUP($A550,'8.Non-elective admissions - CCG'!$D$5:$N$215,3,0)*$H550</f>
        <v>6.6453208619305029</v>
      </c>
      <c r="K550" s="384">
        <f>VLOOKUP($A550,'8.Non-elective admissions - CCG'!$D$5:$N$215,4,0)*$H550</f>
        <v>6.7712158942900134</v>
      </c>
      <c r="L550" s="384">
        <f>VLOOKUP($A550,'8.Non-elective admissions - CCG'!$D$5:$N$215,5,0)*$H550</f>
        <v>6.4187098036833827</v>
      </c>
      <c r="M550" s="384">
        <f>VLOOKUP($A550,'8.Non-elective admissions - CCG'!$D$5:$N$215,6,0)*$H550</f>
        <v>5.8725190479082725</v>
      </c>
      <c r="N550" s="384">
        <f>VLOOKUP($A550,'8.Non-elective admissions - CCG'!$D$5:$N$215,7,0)*$H550</f>
        <v>6.703426261481046</v>
      </c>
      <c r="O550" s="384">
        <f>VLOOKUP($A550,'8.Non-elective admissions - CCG'!$D$5:$N$215,8,0)*$H550</f>
        <v>6.6240155487619701</v>
      </c>
      <c r="P550" s="384">
        <f>VLOOKUP($A550,'8.Non-elective admissions - CCG'!$D$5:$N$215,9,0)*$H550</f>
        <v>6.2656989182002842</v>
      </c>
      <c r="Q550" s="384">
        <f>VLOOKUP($A550,'8.Non-elective admissions - CCG'!$D$5:$N$215,10,0)*$H550</f>
        <v>5.688518615998218</v>
      </c>
      <c r="R550" s="384">
        <f>VLOOKUP($A550,'8.Non-elective admissions - CCG'!$D$5:$Q$215,11,0)*$H550</f>
        <v>6.5736575358181657</v>
      </c>
      <c r="S550" s="384">
        <f>VLOOKUP($A550,'8.Non-elective admissions - CCG'!$D$5:$Q$215,12,0)*$H550</f>
        <v>6.4690678166271871</v>
      </c>
      <c r="T550" s="384">
        <f>VLOOKUP($A550,'8.Non-elective admissions - CCG'!$D$5:$Q$215,13,0)*$H550</f>
        <v>6.1107511860655013</v>
      </c>
      <c r="U550" s="384">
        <f>VLOOKUP($A550,'8.Non-elective admissions - CCG'!$D$5:$Q$215,14,0)*$H550</f>
        <v>5.5296971905600651</v>
      </c>
    </row>
    <row r="551" spans="1:21">
      <c r="A551" s="395" t="s">
        <v>461</v>
      </c>
      <c r="B551" s="395" t="s">
        <v>1212</v>
      </c>
      <c r="C551" s="395" t="s">
        <v>741</v>
      </c>
      <c r="D551" s="395" t="s">
        <v>339</v>
      </c>
      <c r="E551" s="537">
        <f>COUNTIF($D$5:D551,D551)</f>
        <v>2</v>
      </c>
      <c r="F551" s="537" t="str">
        <f t="shared" si="16"/>
        <v>Nottingham2</v>
      </c>
      <c r="G551" s="541" t="str">
        <f t="shared" si="17"/>
        <v>NHS Nottingham North and East CCG</v>
      </c>
      <c r="H551" s="546">
        <v>4.5249326827688133E-2</v>
      </c>
      <c r="I551" s="546">
        <v>2.0047959623020618E-2</v>
      </c>
      <c r="J551" s="384">
        <f>VLOOKUP($A551,'8.Non-elective admissions - CCG'!$D$5:$N$215,3,0)*$H551</f>
        <v>155.25044034579798</v>
      </c>
      <c r="K551" s="384">
        <f>VLOOKUP($A551,'8.Non-elective admissions - CCG'!$D$5:$N$215,4,0)*$H551</f>
        <v>158.19164658959772</v>
      </c>
      <c r="L551" s="384">
        <f>VLOOKUP($A551,'8.Non-elective admissions - CCG'!$D$5:$N$215,5,0)*$H551</f>
        <v>149.95626910695847</v>
      </c>
      <c r="M551" s="384">
        <f>VLOOKUP($A551,'8.Non-elective admissions - CCG'!$D$5:$N$215,6,0)*$H551</f>
        <v>137.19595894155043</v>
      </c>
      <c r="N551" s="384">
        <f>VLOOKUP($A551,'8.Non-elective admissions - CCG'!$D$5:$N$215,7,0)*$H551</f>
        <v>156.60792015062862</v>
      </c>
      <c r="O551" s="384">
        <f>VLOOKUP($A551,'8.Non-elective admissions - CCG'!$D$5:$N$215,8,0)*$H551</f>
        <v>154.75269775069341</v>
      </c>
      <c r="P551" s="384">
        <f>VLOOKUP($A551,'8.Non-elective admissions - CCG'!$D$5:$N$215,9,0)*$H551</f>
        <v>146.38157228757112</v>
      </c>
      <c r="Q551" s="384">
        <f>VLOOKUP($A551,'8.Non-elective admissions - CCG'!$D$5:$N$215,10,0)*$H551</f>
        <v>132.89727289292006</v>
      </c>
      <c r="R551" s="384">
        <f>VLOOKUP($A551,'8.Non-elective admissions - CCG'!$D$5:$Q$215,11,0)*$H551</f>
        <v>153.57621525317353</v>
      </c>
      <c r="S551" s="384">
        <f>VLOOKUP($A551,'8.Non-elective admissions - CCG'!$D$5:$Q$215,12,0)*$H551</f>
        <v>151.13275160447836</v>
      </c>
      <c r="T551" s="384">
        <f>VLOOKUP($A551,'8.Non-elective admissions - CCG'!$D$5:$Q$215,13,0)*$H551</f>
        <v>142.76162614135606</v>
      </c>
      <c r="U551" s="384">
        <f>VLOOKUP($A551,'8.Non-elective admissions - CCG'!$D$5:$Q$215,14,0)*$H551</f>
        <v>129.18682809304963</v>
      </c>
    </row>
    <row r="552" spans="1:21">
      <c r="A552" s="395" t="s">
        <v>461</v>
      </c>
      <c r="B552" s="395" t="s">
        <v>1212</v>
      </c>
      <c r="C552" s="395" t="s">
        <v>742</v>
      </c>
      <c r="D552" s="395" t="s">
        <v>342</v>
      </c>
      <c r="E552" s="537">
        <f>COUNTIF($D$5:D552,D552)</f>
        <v>10</v>
      </c>
      <c r="F552" s="537" t="str">
        <f t="shared" si="16"/>
        <v>Nottinghamshire10</v>
      </c>
      <c r="G552" s="541" t="str">
        <f t="shared" si="17"/>
        <v>NHS Nottingham North and East CCG</v>
      </c>
      <c r="H552" s="546">
        <v>0.95281382652062696</v>
      </c>
      <c r="I552" s="546">
        <v>0.17249248941064932</v>
      </c>
      <c r="J552" s="384">
        <f>VLOOKUP($A552,'8.Non-elective admissions - CCG'!$D$5:$N$215,3,0)*$H552</f>
        <v>3269.1042387922712</v>
      </c>
      <c r="K552" s="384">
        <f>VLOOKUP($A552,'8.Non-elective admissions - CCG'!$D$5:$N$215,4,0)*$H552</f>
        <v>3331.0371375161117</v>
      </c>
      <c r="L552" s="384">
        <f>VLOOKUP($A552,'8.Non-elective admissions - CCG'!$D$5:$N$215,5,0)*$H552</f>
        <v>3157.6250210893577</v>
      </c>
      <c r="M552" s="384">
        <f>VLOOKUP($A552,'8.Non-elective admissions - CCG'!$D$5:$N$215,6,0)*$H552</f>
        <v>2888.9315220105409</v>
      </c>
      <c r="N552" s="384">
        <f>VLOOKUP($A552,'8.Non-elective admissions - CCG'!$D$5:$N$215,7,0)*$H552</f>
        <v>3297.6886535878898</v>
      </c>
      <c r="O552" s="384">
        <f>VLOOKUP($A552,'8.Non-elective admissions - CCG'!$D$5:$N$215,8,0)*$H552</f>
        <v>3258.6232867005442</v>
      </c>
      <c r="P552" s="384">
        <f>VLOOKUP($A552,'8.Non-elective admissions - CCG'!$D$5:$N$215,9,0)*$H552</f>
        <v>3082.3527287942284</v>
      </c>
      <c r="Q552" s="384">
        <f>VLOOKUP($A552,'8.Non-elective admissions - CCG'!$D$5:$N$215,10,0)*$H552</f>
        <v>2798.4142084910814</v>
      </c>
      <c r="R552" s="384">
        <f>VLOOKUP($A552,'8.Non-elective admissions - CCG'!$D$5:$Q$215,11,0)*$H552</f>
        <v>3233.8501272110079</v>
      </c>
      <c r="S552" s="384">
        <f>VLOOKUP($A552,'8.Non-elective admissions - CCG'!$D$5:$Q$215,12,0)*$H552</f>
        <v>3182.398180578894</v>
      </c>
      <c r="T552" s="384">
        <f>VLOOKUP($A552,'8.Non-elective admissions - CCG'!$D$5:$Q$215,13,0)*$H552</f>
        <v>3006.1276226725781</v>
      </c>
      <c r="U552" s="384">
        <f>VLOOKUP($A552,'8.Non-elective admissions - CCG'!$D$5:$Q$215,14,0)*$H552</f>
        <v>2720.2834747163902</v>
      </c>
    </row>
    <row r="553" spans="1:21">
      <c r="A553" s="395" t="s">
        <v>464</v>
      </c>
      <c r="B553" s="395" t="s">
        <v>463</v>
      </c>
      <c r="C553" s="395" t="s">
        <v>683</v>
      </c>
      <c r="D553" s="395" t="s">
        <v>146</v>
      </c>
      <c r="E553" s="537">
        <f>COUNTIF($D$5:D553,D553)</f>
        <v>9</v>
      </c>
      <c r="F553" s="537" t="str">
        <f t="shared" si="16"/>
        <v>Derbyshire9</v>
      </c>
      <c r="G553" s="541" t="str">
        <f t="shared" si="17"/>
        <v>NHS Nottingham West CCG</v>
      </c>
      <c r="H553" s="546">
        <v>4.9826446017811839E-2</v>
      </c>
      <c r="I553" s="546">
        <v>5.9474937914956155E-3</v>
      </c>
      <c r="J553" s="384">
        <f>VLOOKUP($A553,'8.Non-elective admissions - CCG'!$D$5:$N$215,3,0)*$H553</f>
        <v>111.31228040379165</v>
      </c>
      <c r="K553" s="384">
        <f>VLOOKUP($A553,'8.Non-elective admissions - CCG'!$D$5:$N$215,4,0)*$H553</f>
        <v>109.26939611706136</v>
      </c>
      <c r="L553" s="384">
        <f>VLOOKUP($A553,'8.Non-elective admissions - CCG'!$D$5:$N$215,5,0)*$H553</f>
        <v>111.41193329582727</v>
      </c>
      <c r="M553" s="384">
        <f>VLOOKUP($A553,'8.Non-elective admissions - CCG'!$D$5:$N$215,6,0)*$H553</f>
        <v>94.81972677189593</v>
      </c>
      <c r="N553" s="384">
        <f>VLOOKUP($A553,'8.Non-elective admissions - CCG'!$D$5:$N$215,7,0)*$H553</f>
        <v>108.42234653475856</v>
      </c>
      <c r="O553" s="384">
        <f>VLOOKUP($A553,'8.Non-elective admissions - CCG'!$D$5:$N$215,8,0)*$H553</f>
        <v>108.52199942679418</v>
      </c>
      <c r="P553" s="384">
        <f>VLOOKUP($A553,'8.Non-elective admissions - CCG'!$D$5:$N$215,9,0)*$H553</f>
        <v>110.51505726750666</v>
      </c>
      <c r="Q553" s="384">
        <f>VLOOKUP($A553,'8.Non-elective admissions - CCG'!$D$5:$N$215,10,0)*$H553</f>
        <v>93.424586283397204</v>
      </c>
      <c r="R553" s="384">
        <f>VLOOKUP($A553,'8.Non-elective admissions - CCG'!$D$5:$Q$215,11,0)*$H553</f>
        <v>107.97390852059826</v>
      </c>
      <c r="S553" s="384">
        <f>VLOOKUP($A553,'8.Non-elective admissions - CCG'!$D$5:$Q$215,12,0)*$H553</f>
        <v>107.67494984449138</v>
      </c>
      <c r="T553" s="384">
        <f>VLOOKUP($A553,'8.Non-elective admissions - CCG'!$D$5:$Q$215,13,0)*$H553</f>
        <v>109.51852834715042</v>
      </c>
      <c r="U553" s="384">
        <f>VLOOKUP($A553,'8.Non-elective admissions - CCG'!$D$5:$Q$215,14,0)*$H553</f>
        <v>92.527710255076585</v>
      </c>
    </row>
    <row r="554" spans="1:21">
      <c r="A554" s="395" t="s">
        <v>464</v>
      </c>
      <c r="B554" s="395" t="s">
        <v>463</v>
      </c>
      <c r="C554" s="395" t="s">
        <v>741</v>
      </c>
      <c r="D554" s="395" t="s">
        <v>339</v>
      </c>
      <c r="E554" s="537">
        <f>COUNTIF($D$5:D554,D554)</f>
        <v>3</v>
      </c>
      <c r="F554" s="537" t="str">
        <f t="shared" si="16"/>
        <v>Nottingham3</v>
      </c>
      <c r="G554" s="541" t="str">
        <f t="shared" si="17"/>
        <v>NHS Nottingham West CCG</v>
      </c>
      <c r="H554" s="546">
        <v>5.7702718481641491E-2</v>
      </c>
      <c r="I554" s="546">
        <v>1.6253647801750946E-2</v>
      </c>
      <c r="J554" s="384">
        <f>VLOOKUP($A554,'8.Non-elective admissions - CCG'!$D$5:$N$215,3,0)*$H554</f>
        <v>128.9078730879871</v>
      </c>
      <c r="K554" s="384">
        <f>VLOOKUP($A554,'8.Non-elective admissions - CCG'!$D$5:$N$215,4,0)*$H554</f>
        <v>126.54206163023979</v>
      </c>
      <c r="L554" s="384">
        <f>VLOOKUP($A554,'8.Non-elective admissions - CCG'!$D$5:$N$215,5,0)*$H554</f>
        <v>129.02327852495037</v>
      </c>
      <c r="M554" s="384">
        <f>VLOOKUP($A554,'8.Non-elective admissions - CCG'!$D$5:$N$215,6,0)*$H554</f>
        <v>109.80827327056376</v>
      </c>
      <c r="N554" s="384">
        <f>VLOOKUP($A554,'8.Non-elective admissions - CCG'!$D$5:$N$215,7,0)*$H554</f>
        <v>125.56111541605188</v>
      </c>
      <c r="O554" s="384">
        <f>VLOOKUP($A554,'8.Non-elective admissions - CCG'!$D$5:$N$215,8,0)*$H554</f>
        <v>125.67652085301516</v>
      </c>
      <c r="P554" s="384">
        <f>VLOOKUP($A554,'8.Non-elective admissions - CCG'!$D$5:$N$215,9,0)*$H554</f>
        <v>127.98462959228083</v>
      </c>
      <c r="Q554" s="384">
        <f>VLOOKUP($A554,'8.Non-elective admissions - CCG'!$D$5:$N$215,10,0)*$H554</f>
        <v>108.1925971530778</v>
      </c>
      <c r="R554" s="384">
        <f>VLOOKUP($A554,'8.Non-elective admissions - CCG'!$D$5:$Q$215,11,0)*$H554</f>
        <v>125.04179094971711</v>
      </c>
      <c r="S554" s="384">
        <f>VLOOKUP($A554,'8.Non-elective admissions - CCG'!$D$5:$Q$215,12,0)*$H554</f>
        <v>124.69557463882727</v>
      </c>
      <c r="T554" s="384">
        <f>VLOOKUP($A554,'8.Non-elective admissions - CCG'!$D$5:$Q$215,13,0)*$H554</f>
        <v>126.83057522264799</v>
      </c>
      <c r="U554" s="384">
        <f>VLOOKUP($A554,'8.Non-elective admissions - CCG'!$D$5:$Q$215,14,0)*$H554</f>
        <v>107.15394822040825</v>
      </c>
    </row>
    <row r="555" spans="1:21">
      <c r="A555" s="395" t="s">
        <v>464</v>
      </c>
      <c r="B555" s="395" t="s">
        <v>463</v>
      </c>
      <c r="C555" s="395" t="s">
        <v>742</v>
      </c>
      <c r="D555" s="395" t="s">
        <v>342</v>
      </c>
      <c r="E555" s="537">
        <f>COUNTIF($D$5:D555,D555)</f>
        <v>11</v>
      </c>
      <c r="F555" s="537" t="str">
        <f t="shared" si="16"/>
        <v>Nottinghamshire11</v>
      </c>
      <c r="G555" s="541" t="str">
        <f t="shared" si="17"/>
        <v>NHS Nottingham West CCG</v>
      </c>
      <c r="H555" s="546">
        <v>0.89247083550054673</v>
      </c>
      <c r="I555" s="546">
        <v>0.10271945031893279</v>
      </c>
      <c r="J555" s="384">
        <f>VLOOKUP($A555,'8.Non-elective admissions - CCG'!$D$5:$N$215,3,0)*$H555</f>
        <v>1993.7798465082215</v>
      </c>
      <c r="K555" s="384">
        <f>VLOOKUP($A555,'8.Non-elective admissions - CCG'!$D$5:$N$215,4,0)*$H555</f>
        <v>1957.1885422526989</v>
      </c>
      <c r="L555" s="384">
        <f>VLOOKUP($A555,'8.Non-elective admissions - CCG'!$D$5:$N$215,5,0)*$H555</f>
        <v>1995.5647881792224</v>
      </c>
      <c r="M555" s="384">
        <f>VLOOKUP($A555,'8.Non-elective admissions - CCG'!$D$5:$N$215,6,0)*$H555</f>
        <v>1698.3719999575405</v>
      </c>
      <c r="N555" s="384">
        <f>VLOOKUP($A555,'8.Non-elective admissions - CCG'!$D$5:$N$215,7,0)*$H555</f>
        <v>1942.0165380491896</v>
      </c>
      <c r="O555" s="384">
        <f>VLOOKUP($A555,'8.Non-elective admissions - CCG'!$D$5:$N$215,8,0)*$H555</f>
        <v>1943.8014797201909</v>
      </c>
      <c r="P555" s="384">
        <f>VLOOKUP($A555,'8.Non-elective admissions - CCG'!$D$5:$N$215,9,0)*$H555</f>
        <v>1979.5003131402127</v>
      </c>
      <c r="Q555" s="384">
        <f>VLOOKUP($A555,'8.Non-elective admissions - CCG'!$D$5:$N$215,10,0)*$H555</f>
        <v>1673.382816563525</v>
      </c>
      <c r="R555" s="384">
        <f>VLOOKUP($A555,'8.Non-elective admissions - CCG'!$D$5:$Q$215,11,0)*$H555</f>
        <v>1933.9843005296848</v>
      </c>
      <c r="S555" s="384">
        <f>VLOOKUP($A555,'8.Non-elective admissions - CCG'!$D$5:$Q$215,12,0)*$H555</f>
        <v>1928.6294755166814</v>
      </c>
      <c r="T555" s="384">
        <f>VLOOKUP($A555,'8.Non-elective admissions - CCG'!$D$5:$Q$215,13,0)*$H555</f>
        <v>1961.6508964302018</v>
      </c>
      <c r="U555" s="384">
        <f>VLOOKUP($A555,'8.Non-elective admissions - CCG'!$D$5:$Q$215,14,0)*$H555</f>
        <v>1657.3183415245153</v>
      </c>
    </row>
    <row r="556" spans="1:21">
      <c r="A556" s="395" t="s">
        <v>467</v>
      </c>
      <c r="B556" s="395" t="s">
        <v>466</v>
      </c>
      <c r="C556" s="395" t="s">
        <v>726</v>
      </c>
      <c r="D556" s="395" t="s">
        <v>294</v>
      </c>
      <c r="E556" s="537">
        <f>COUNTIF($D$5:D556,D556)</f>
        <v>5</v>
      </c>
      <c r="F556" s="537" t="str">
        <f t="shared" si="16"/>
        <v>Manchester5</v>
      </c>
      <c r="G556" s="541" t="str">
        <f t="shared" si="17"/>
        <v>NHS Oldham CCG</v>
      </c>
      <c r="H556" s="546">
        <v>8.5047054722899949E-3</v>
      </c>
      <c r="I556" s="546">
        <v>3.7479918245347083E-3</v>
      </c>
      <c r="J556" s="384">
        <f>VLOOKUP($A556,'8.Non-elective admissions - CCG'!$D$5:$N$215,3,0)*$H556</f>
        <v>61.506029975601244</v>
      </c>
      <c r="K556" s="384">
        <f>VLOOKUP($A556,'8.Non-elective admissions - CCG'!$D$5:$N$215,4,0)*$H556</f>
        <v>60.647054722899952</v>
      </c>
      <c r="L556" s="384">
        <f>VLOOKUP($A556,'8.Non-elective admissions - CCG'!$D$5:$N$215,5,0)*$H556</f>
        <v>62.909306378529095</v>
      </c>
      <c r="M556" s="384">
        <f>VLOOKUP($A556,'8.Non-elective admissions - CCG'!$D$5:$N$215,6,0)*$H556</f>
        <v>63.368560474032755</v>
      </c>
      <c r="N556" s="384">
        <f>VLOOKUP($A556,'8.Non-elective admissions - CCG'!$D$5:$N$215,7,0)*$H556</f>
        <v>60.102753572673393</v>
      </c>
      <c r="O556" s="384">
        <f>VLOOKUP($A556,'8.Non-elective admissions - CCG'!$D$5:$N$215,8,0)*$H556</f>
        <v>59.762565353781795</v>
      </c>
      <c r="P556" s="384">
        <f>VLOOKUP($A556,'8.Non-elective admissions - CCG'!$D$5:$N$215,9,0)*$H556</f>
        <v>62.730707563611006</v>
      </c>
      <c r="Q556" s="384">
        <f>VLOOKUP($A556,'8.Non-elective admissions - CCG'!$D$5:$N$215,10,0)*$H556</f>
        <v>59.652004182642024</v>
      </c>
      <c r="R556" s="384">
        <f>VLOOKUP($A556,'8.Non-elective admissions - CCG'!$D$5:$Q$215,11,0)*$H556</f>
        <v>60.128267689090265</v>
      </c>
      <c r="S556" s="384">
        <f>VLOOKUP($A556,'8.Non-elective admissions - CCG'!$D$5:$Q$215,12,0)*$H556</f>
        <v>60.783130010456595</v>
      </c>
      <c r="T556" s="384">
        <f>VLOOKUP($A556,'8.Non-elective admissions - CCG'!$D$5:$Q$215,13,0)*$H556</f>
        <v>60.783130010456595</v>
      </c>
      <c r="U556" s="384">
        <f>VLOOKUP($A556,'8.Non-elective admissions - CCG'!$D$5:$Q$215,14,0)*$H556</f>
        <v>60.111258278145684</v>
      </c>
    </row>
    <row r="557" spans="1:21">
      <c r="A557" s="395" t="s">
        <v>467</v>
      </c>
      <c r="B557" s="395" t="s">
        <v>466</v>
      </c>
      <c r="C557" s="395" t="s">
        <v>743</v>
      </c>
      <c r="D557" s="395" t="s">
        <v>345</v>
      </c>
      <c r="E557" s="537">
        <f>COUNTIF($D$5:D557,D557)</f>
        <v>3</v>
      </c>
      <c r="F557" s="537" t="str">
        <f t="shared" si="16"/>
        <v>Oldham3</v>
      </c>
      <c r="G557" s="541" t="str">
        <f t="shared" si="17"/>
        <v>NHS Oldham CCG</v>
      </c>
      <c r="H557" s="546">
        <v>0.94653599327496762</v>
      </c>
      <c r="I557" s="546">
        <v>0.96335264264966114</v>
      </c>
      <c r="J557" s="384">
        <f>VLOOKUP($A557,'8.Non-elective admissions - CCG'!$D$5:$N$215,3,0)*$H557</f>
        <v>6845.3483033645662</v>
      </c>
      <c r="K557" s="384">
        <f>VLOOKUP($A557,'8.Non-elective admissions - CCG'!$D$5:$N$215,4,0)*$H557</f>
        <v>6749.7481680437941</v>
      </c>
      <c r="L557" s="384">
        <f>VLOOKUP($A557,'8.Non-elective admissions - CCG'!$D$5:$N$215,5,0)*$H557</f>
        <v>7001.5267422549359</v>
      </c>
      <c r="M557" s="384">
        <f>VLOOKUP($A557,'8.Non-elective admissions - CCG'!$D$5:$N$215,6,0)*$H557</f>
        <v>7052.6396858917842</v>
      </c>
      <c r="N557" s="384">
        <f>VLOOKUP($A557,'8.Non-elective admissions - CCG'!$D$5:$N$215,7,0)*$H557</f>
        <v>6689.1698644741964</v>
      </c>
      <c r="O557" s="384">
        <f>VLOOKUP($A557,'8.Non-elective admissions - CCG'!$D$5:$N$215,8,0)*$H557</f>
        <v>6651.3084247431971</v>
      </c>
      <c r="P557" s="384">
        <f>VLOOKUP($A557,'8.Non-elective admissions - CCG'!$D$5:$N$215,9,0)*$H557</f>
        <v>6981.6494863961616</v>
      </c>
      <c r="Q557" s="384">
        <f>VLOOKUP($A557,'8.Non-elective admissions - CCG'!$D$5:$N$215,10,0)*$H557</f>
        <v>6639.0034568306228</v>
      </c>
      <c r="R557" s="384">
        <f>VLOOKUP($A557,'8.Non-elective admissions - CCG'!$D$5:$Q$215,11,0)*$H557</f>
        <v>6692.0094724540213</v>
      </c>
      <c r="S557" s="384">
        <f>VLOOKUP($A557,'8.Non-elective admissions - CCG'!$D$5:$Q$215,12,0)*$H557</f>
        <v>6764.8927439361933</v>
      </c>
      <c r="T557" s="384">
        <f>VLOOKUP($A557,'8.Non-elective admissions - CCG'!$D$5:$Q$215,13,0)*$H557</f>
        <v>6764.8927439361933</v>
      </c>
      <c r="U557" s="384">
        <f>VLOOKUP($A557,'8.Non-elective admissions - CCG'!$D$5:$Q$215,14,0)*$H557</f>
        <v>6690.1164004674711</v>
      </c>
    </row>
    <row r="558" spans="1:21">
      <c r="A558" s="395" t="s">
        <v>467</v>
      </c>
      <c r="B558" s="395" t="s">
        <v>466</v>
      </c>
      <c r="C558" s="395" t="s">
        <v>752</v>
      </c>
      <c r="D558" s="395" t="s">
        <v>372</v>
      </c>
      <c r="E558" s="537">
        <f>COUNTIF($D$5:D558,D558)</f>
        <v>5</v>
      </c>
      <c r="F558" s="537" t="str">
        <f t="shared" si="16"/>
        <v>Rochdale5</v>
      </c>
      <c r="G558" s="541" t="str">
        <f t="shared" si="17"/>
        <v>NHS Oldham CCG</v>
      </c>
      <c r="H558" s="546">
        <v>8.3775859594447753E-3</v>
      </c>
      <c r="I558" s="546">
        <v>9.0900596660304089E-3</v>
      </c>
      <c r="J558" s="384">
        <f>VLOOKUP($A558,'8.Non-elective admissions - CCG'!$D$5:$N$215,3,0)*$H558</f>
        <v>60.586701658704612</v>
      </c>
      <c r="K558" s="384">
        <f>VLOOKUP($A558,'8.Non-elective admissions - CCG'!$D$5:$N$215,4,0)*$H558</f>
        <v>59.74056547680069</v>
      </c>
      <c r="L558" s="384">
        <f>VLOOKUP($A558,'8.Non-elective admissions - CCG'!$D$5:$N$215,5,0)*$H558</f>
        <v>61.969003342013004</v>
      </c>
      <c r="M558" s="384">
        <f>VLOOKUP($A558,'8.Non-elective admissions - CCG'!$D$5:$N$215,6,0)*$H558</f>
        <v>62.421392983823019</v>
      </c>
      <c r="N558" s="384">
        <f>VLOOKUP($A558,'8.Non-elective admissions - CCG'!$D$5:$N$215,7,0)*$H558</f>
        <v>59.204399975396228</v>
      </c>
      <c r="O558" s="384">
        <f>VLOOKUP($A558,'8.Non-elective admissions - CCG'!$D$5:$N$215,8,0)*$H558</f>
        <v>58.869296537018435</v>
      </c>
      <c r="P558" s="384">
        <f>VLOOKUP($A558,'8.Non-elective admissions - CCG'!$D$5:$N$215,9,0)*$H558</f>
        <v>61.79307403686466</v>
      </c>
      <c r="Q558" s="384">
        <f>VLOOKUP($A558,'8.Non-elective admissions - CCG'!$D$5:$N$215,10,0)*$H558</f>
        <v>58.760387919545657</v>
      </c>
      <c r="R558" s="384">
        <f>VLOOKUP($A558,'8.Non-elective admissions - CCG'!$D$5:$Q$215,11,0)*$H558</f>
        <v>59.22953273327456</v>
      </c>
      <c r="S558" s="384">
        <f>VLOOKUP($A558,'8.Non-elective admissions - CCG'!$D$5:$Q$215,12,0)*$H558</f>
        <v>59.874606852151807</v>
      </c>
      <c r="T558" s="384">
        <f>VLOOKUP($A558,'8.Non-elective admissions - CCG'!$D$5:$Q$215,13,0)*$H558</f>
        <v>59.874606852151807</v>
      </c>
      <c r="U558" s="384">
        <f>VLOOKUP($A558,'8.Non-elective admissions - CCG'!$D$5:$Q$215,14,0)*$H558</f>
        <v>59.212777561355672</v>
      </c>
    </row>
    <row r="559" spans="1:21">
      <c r="A559" s="395" t="s">
        <v>467</v>
      </c>
      <c r="B559" s="395" t="s">
        <v>466</v>
      </c>
      <c r="C559" s="395" t="s">
        <v>778</v>
      </c>
      <c r="D559" s="395" t="s">
        <v>450</v>
      </c>
      <c r="E559" s="537">
        <f>COUNTIF($D$5:D559,D559)</f>
        <v>3</v>
      </c>
      <c r="F559" s="537" t="str">
        <f t="shared" si="16"/>
        <v>Tameside3</v>
      </c>
      <c r="G559" s="541" t="str">
        <f t="shared" si="17"/>
        <v>NHS Oldham CCG</v>
      </c>
      <c r="H559" s="546">
        <v>3.6581715293297519E-2</v>
      </c>
      <c r="I559" s="546">
        <v>3.8194280919128826E-2</v>
      </c>
      <c r="J559" s="384">
        <f>VLOOKUP($A559,'8.Non-elective admissions - CCG'!$D$5:$N$215,3,0)*$H559</f>
        <v>264.55896500112766</v>
      </c>
      <c r="K559" s="384">
        <f>VLOOKUP($A559,'8.Non-elective admissions - CCG'!$D$5:$N$215,4,0)*$H559</f>
        <v>260.86421175650463</v>
      </c>
      <c r="L559" s="384">
        <f>VLOOKUP($A559,'8.Non-elective admissions - CCG'!$D$5:$N$215,5,0)*$H559</f>
        <v>270.59494802452173</v>
      </c>
      <c r="M559" s="384">
        <f>VLOOKUP($A559,'8.Non-elective admissions - CCG'!$D$5:$N$215,6,0)*$H559</f>
        <v>272.57036065035982</v>
      </c>
      <c r="N559" s="384">
        <f>VLOOKUP($A559,'8.Non-elective admissions - CCG'!$D$5:$N$215,7,0)*$H559</f>
        <v>258.52298197773359</v>
      </c>
      <c r="O559" s="384">
        <f>VLOOKUP($A559,'8.Non-elective admissions - CCG'!$D$5:$N$215,8,0)*$H559</f>
        <v>257.05971336600169</v>
      </c>
      <c r="P559" s="384">
        <f>VLOOKUP($A559,'8.Non-elective admissions - CCG'!$D$5:$N$215,9,0)*$H559</f>
        <v>269.82673200336251</v>
      </c>
      <c r="Q559" s="384">
        <f>VLOOKUP($A559,'8.Non-elective admissions - CCG'!$D$5:$N$215,10,0)*$H559</f>
        <v>256.58415106718877</v>
      </c>
      <c r="R559" s="384">
        <f>VLOOKUP($A559,'8.Non-elective admissions - CCG'!$D$5:$Q$215,11,0)*$H559</f>
        <v>258.63272712361345</v>
      </c>
      <c r="S559" s="384">
        <f>VLOOKUP($A559,'8.Non-elective admissions - CCG'!$D$5:$Q$215,12,0)*$H559</f>
        <v>261.44951920119735</v>
      </c>
      <c r="T559" s="384">
        <f>VLOOKUP($A559,'8.Non-elective admissions - CCG'!$D$5:$Q$215,13,0)*$H559</f>
        <v>261.44951920119735</v>
      </c>
      <c r="U559" s="384">
        <f>VLOOKUP($A559,'8.Non-elective admissions - CCG'!$D$5:$Q$215,14,0)*$H559</f>
        <v>258.55956369302686</v>
      </c>
    </row>
    <row r="560" spans="1:21">
      <c r="A560" s="395" t="s">
        <v>470</v>
      </c>
      <c r="B560" s="395" t="s">
        <v>469</v>
      </c>
      <c r="C560" s="395" t="s">
        <v>667</v>
      </c>
      <c r="D560" s="395" t="s">
        <v>86</v>
      </c>
      <c r="E560" s="537">
        <f>COUNTIF($D$5:D560,D560)</f>
        <v>8</v>
      </c>
      <c r="F560" s="537" t="str">
        <f t="shared" si="16"/>
        <v>Buckinghamshire8</v>
      </c>
      <c r="G560" s="541" t="str">
        <f t="shared" si="17"/>
        <v>NHS Oxfordshire CCG</v>
      </c>
      <c r="H560" s="546">
        <v>5.6658353546416972E-3</v>
      </c>
      <c r="I560" s="546">
        <v>7.4736365498026388E-3</v>
      </c>
      <c r="J560" s="384">
        <f>VLOOKUP($A560,'8.Non-elective admissions - CCG'!$D$5:$N$215,3,0)*$H560</f>
        <v>71.004248664369754</v>
      </c>
      <c r="K560" s="384">
        <f>VLOOKUP($A560,'8.Non-elective admissions - CCG'!$D$5:$N$215,4,0)*$H560</f>
        <v>72.460368350512667</v>
      </c>
      <c r="L560" s="384">
        <f>VLOOKUP($A560,'8.Non-elective admissions - CCG'!$D$5:$N$215,5,0)*$H560</f>
        <v>73.032617721331476</v>
      </c>
      <c r="M560" s="384">
        <f>VLOOKUP($A560,'8.Non-elective admissions - CCG'!$D$5:$N$215,6,0)*$H560</f>
        <v>71.406522974549304</v>
      </c>
      <c r="N560" s="384">
        <f>VLOOKUP($A560,'8.Non-elective admissions - CCG'!$D$5:$N$215,7,0)*$H560</f>
        <v>68.669924498257373</v>
      </c>
      <c r="O560" s="384">
        <f>VLOOKUP($A560,'8.Non-elective admissions - CCG'!$D$5:$N$215,8,0)*$H560</f>
        <v>70.828607768375861</v>
      </c>
      <c r="P560" s="384">
        <f>VLOOKUP($A560,'8.Non-elective admissions - CCG'!$D$5:$N$215,9,0)*$H560</f>
        <v>71.95610900394955</v>
      </c>
      <c r="Q560" s="384">
        <f>VLOOKUP($A560,'8.Non-elective admissions - CCG'!$D$5:$N$215,10,0)*$H560</f>
        <v>68.55094195580989</v>
      </c>
      <c r="R560" s="384">
        <f>VLOOKUP($A560,'8.Non-elective admissions - CCG'!$D$5:$Q$215,11,0)*$H560</f>
        <v>69.984398300534238</v>
      </c>
      <c r="S560" s="384">
        <f>VLOOKUP($A560,'8.Non-elective admissions - CCG'!$D$5:$Q$215,12,0)*$H560</f>
        <v>72.194074088844502</v>
      </c>
      <c r="T560" s="384">
        <f>VLOOKUP($A560,'8.Non-elective admissions - CCG'!$D$5:$Q$215,13,0)*$H560</f>
        <v>73.321575324418205</v>
      </c>
      <c r="U560" s="384">
        <f>VLOOKUP($A560,'8.Non-elective admissions - CCG'!$D$5:$Q$215,14,0)*$H560</f>
        <v>69.865415758086769</v>
      </c>
    </row>
    <row r="561" spans="1:21">
      <c r="A561" s="395" t="s">
        <v>470</v>
      </c>
      <c r="B561" s="395" t="s">
        <v>469</v>
      </c>
      <c r="C561" s="395" t="s">
        <v>694</v>
      </c>
      <c r="D561" s="395" t="s">
        <v>188</v>
      </c>
      <c r="E561" s="537">
        <f>COUNTIF($D$5:D561,D561)</f>
        <v>3</v>
      </c>
      <c r="F561" s="537" t="str">
        <f t="shared" si="16"/>
        <v>Gloucestershire3</v>
      </c>
      <c r="G561" s="541" t="str">
        <f t="shared" si="17"/>
        <v>NHS Oxfordshire CCG</v>
      </c>
      <c r="H561" s="546">
        <v>1.5453573051247465E-3</v>
      </c>
      <c r="I561" s="546">
        <v>1.7507709039625513E-3</v>
      </c>
      <c r="J561" s="384">
        <f>VLOOKUP($A561,'8.Non-elective admissions - CCG'!$D$5:$N$215,3,0)*$H561</f>
        <v>19.366417747823323</v>
      </c>
      <c r="K561" s="384">
        <f>VLOOKUP($A561,'8.Non-elective admissions - CCG'!$D$5:$N$215,4,0)*$H561</f>
        <v>19.763574575240384</v>
      </c>
      <c r="L561" s="384">
        <f>VLOOKUP($A561,'8.Non-elective admissions - CCG'!$D$5:$N$215,5,0)*$H561</f>
        <v>19.919655663057981</v>
      </c>
      <c r="M561" s="384">
        <f>VLOOKUP($A561,'8.Non-elective admissions - CCG'!$D$5:$N$215,6,0)*$H561</f>
        <v>19.476138116487178</v>
      </c>
      <c r="N561" s="384">
        <f>VLOOKUP($A561,'8.Non-elective admissions - CCG'!$D$5:$N$215,7,0)*$H561</f>
        <v>18.729730538111927</v>
      </c>
      <c r="O561" s="384">
        <f>VLOOKUP($A561,'8.Non-elective admissions - CCG'!$D$5:$N$215,8,0)*$H561</f>
        <v>19.318511671364455</v>
      </c>
      <c r="P561" s="384">
        <f>VLOOKUP($A561,'8.Non-elective admissions - CCG'!$D$5:$N$215,9,0)*$H561</f>
        <v>19.626037775084281</v>
      </c>
      <c r="Q561" s="384">
        <f>VLOOKUP($A561,'8.Non-elective admissions - CCG'!$D$5:$N$215,10,0)*$H561</f>
        <v>18.697278034704308</v>
      </c>
      <c r="R561" s="384">
        <f>VLOOKUP($A561,'8.Non-elective admissions - CCG'!$D$5:$Q$215,11,0)*$H561</f>
        <v>19.088253432900867</v>
      </c>
      <c r="S561" s="384">
        <f>VLOOKUP($A561,'8.Non-elective admissions - CCG'!$D$5:$Q$215,12,0)*$H561</f>
        <v>19.690942781899519</v>
      </c>
      <c r="T561" s="384">
        <f>VLOOKUP($A561,'8.Non-elective admissions - CCG'!$D$5:$Q$215,13,0)*$H561</f>
        <v>19.998468885619342</v>
      </c>
      <c r="U561" s="384">
        <f>VLOOKUP($A561,'8.Non-elective admissions - CCG'!$D$5:$Q$215,14,0)*$H561</f>
        <v>19.055800929493248</v>
      </c>
    </row>
    <row r="562" spans="1:21">
      <c r="A562" s="395" t="s">
        <v>470</v>
      </c>
      <c r="B562" s="395" t="s">
        <v>469</v>
      </c>
      <c r="C562" s="395" t="s">
        <v>739</v>
      </c>
      <c r="D562" s="395" t="s">
        <v>333</v>
      </c>
      <c r="E562" s="537">
        <f>COUNTIF($D$5:D562,D562)</f>
        <v>9</v>
      </c>
      <c r="F562" s="537" t="str">
        <f t="shared" si="16"/>
        <v>Northamptonshire9</v>
      </c>
      <c r="G562" s="541" t="str">
        <f t="shared" si="17"/>
        <v>NHS Oxfordshire CCG</v>
      </c>
      <c r="H562" s="546">
        <v>1.1874326131635957E-2</v>
      </c>
      <c r="I562" s="546">
        <v>1.10887364932087E-2</v>
      </c>
      <c r="J562" s="384">
        <f>VLOOKUP($A562,'8.Non-elective admissions - CCG'!$D$5:$N$215,3,0)*$H562</f>
        <v>148.8090550816618</v>
      </c>
      <c r="K562" s="384">
        <f>VLOOKUP($A562,'8.Non-elective admissions - CCG'!$D$5:$N$215,4,0)*$H562</f>
        <v>151.86075689749225</v>
      </c>
      <c r="L562" s="384">
        <f>VLOOKUP($A562,'8.Non-elective admissions - CCG'!$D$5:$N$215,5,0)*$H562</f>
        <v>153.06006383678749</v>
      </c>
      <c r="M562" s="384">
        <f>VLOOKUP($A562,'8.Non-elective admissions - CCG'!$D$5:$N$215,6,0)*$H562</f>
        <v>149.65213223700795</v>
      </c>
      <c r="N562" s="384">
        <f>VLOOKUP($A562,'8.Non-elective admissions - CCG'!$D$5:$N$215,7,0)*$H562</f>
        <v>143.9168327154278</v>
      </c>
      <c r="O562" s="384">
        <f>VLOOKUP($A562,'8.Non-elective admissions - CCG'!$D$5:$N$215,8,0)*$H562</f>
        <v>148.44095097158109</v>
      </c>
      <c r="P562" s="384">
        <f>VLOOKUP($A562,'8.Non-elective admissions - CCG'!$D$5:$N$215,9,0)*$H562</f>
        <v>150.80394187177666</v>
      </c>
      <c r="Q562" s="384">
        <f>VLOOKUP($A562,'8.Non-elective admissions - CCG'!$D$5:$N$215,10,0)*$H562</f>
        <v>143.66747186666345</v>
      </c>
      <c r="R562" s="384">
        <f>VLOOKUP($A562,'8.Non-elective admissions - CCG'!$D$5:$Q$215,11,0)*$H562</f>
        <v>146.67167637796734</v>
      </c>
      <c r="S562" s="384">
        <f>VLOOKUP($A562,'8.Non-elective admissions - CCG'!$D$5:$Q$215,12,0)*$H562</f>
        <v>151.30266356930537</v>
      </c>
      <c r="T562" s="384">
        <f>VLOOKUP($A562,'8.Non-elective admissions - CCG'!$D$5:$Q$215,13,0)*$H562</f>
        <v>153.66565446950091</v>
      </c>
      <c r="U562" s="384">
        <f>VLOOKUP($A562,'8.Non-elective admissions - CCG'!$D$5:$Q$215,14,0)*$H562</f>
        <v>146.42231552920299</v>
      </c>
    </row>
    <row r="563" spans="1:21">
      <c r="A563" s="395" t="s">
        <v>470</v>
      </c>
      <c r="B563" s="395" t="s">
        <v>469</v>
      </c>
      <c r="C563" s="395" t="s">
        <v>744</v>
      </c>
      <c r="D563" s="395" t="s">
        <v>348</v>
      </c>
      <c r="E563" s="537">
        <f>COUNTIF($D$5:D563,D563)</f>
        <v>6</v>
      </c>
      <c r="F563" s="537" t="str">
        <f t="shared" si="16"/>
        <v>Oxfordshire6</v>
      </c>
      <c r="G563" s="541" t="str">
        <f t="shared" si="17"/>
        <v>NHS Oxfordshire CCG</v>
      </c>
      <c r="H563" s="546">
        <v>0.97314069303221884</v>
      </c>
      <c r="I563" s="546">
        <v>0.96569820526519612</v>
      </c>
      <c r="J563" s="384">
        <f>VLOOKUP($A563,'8.Non-elective admissions - CCG'!$D$5:$N$215,3,0)*$H563</f>
        <v>12195.399165079767</v>
      </c>
      <c r="K563" s="384">
        <f>VLOOKUP($A563,'8.Non-elective admissions - CCG'!$D$5:$N$215,4,0)*$H563</f>
        <v>12445.496323189047</v>
      </c>
      <c r="L563" s="384">
        <f>VLOOKUP($A563,'8.Non-elective admissions - CCG'!$D$5:$N$215,5,0)*$H563</f>
        <v>12543.7835331853</v>
      </c>
      <c r="M563" s="384">
        <f>VLOOKUP($A563,'8.Non-elective admissions - CCG'!$D$5:$N$215,6,0)*$H563</f>
        <v>12264.492154285053</v>
      </c>
      <c r="N563" s="384">
        <f>VLOOKUP($A563,'8.Non-elective admissions - CCG'!$D$5:$N$215,7,0)*$H563</f>
        <v>11794.465199550492</v>
      </c>
      <c r="O563" s="384">
        <f>VLOOKUP($A563,'8.Non-elective admissions - CCG'!$D$5:$N$215,8,0)*$H563</f>
        <v>12165.231803595767</v>
      </c>
      <c r="P563" s="384">
        <f>VLOOKUP($A563,'8.Non-elective admissions - CCG'!$D$5:$N$215,9,0)*$H563</f>
        <v>12358.886801509179</v>
      </c>
      <c r="Q563" s="384">
        <f>VLOOKUP($A563,'8.Non-elective admissions - CCG'!$D$5:$N$215,10,0)*$H563</f>
        <v>11774.029244996816</v>
      </c>
      <c r="R563" s="384">
        <f>VLOOKUP($A563,'8.Non-elective admissions - CCG'!$D$5:$Q$215,11,0)*$H563</f>
        <v>12020.233840333967</v>
      </c>
      <c r="S563" s="384">
        <f>VLOOKUP($A563,'8.Non-elective admissions - CCG'!$D$5:$Q$215,12,0)*$H563</f>
        <v>12399.758710616532</v>
      </c>
      <c r="T563" s="384">
        <f>VLOOKUP($A563,'8.Non-elective admissions - CCG'!$D$5:$Q$215,13,0)*$H563</f>
        <v>12593.413708529944</v>
      </c>
      <c r="U563" s="384">
        <f>VLOOKUP($A563,'8.Non-elective admissions - CCG'!$D$5:$Q$215,14,0)*$H563</f>
        <v>11999.79788578029</v>
      </c>
    </row>
    <row r="564" spans="1:21">
      <c r="A564" s="395" t="s">
        <v>470</v>
      </c>
      <c r="B564" s="395" t="s">
        <v>469</v>
      </c>
      <c r="C564" s="395" t="s">
        <v>748</v>
      </c>
      <c r="D564" s="395" t="s">
        <v>360</v>
      </c>
      <c r="E564" s="537">
        <f>COUNTIF($D$5:D564,D564)</f>
        <v>2</v>
      </c>
      <c r="F564" s="537" t="str">
        <f t="shared" si="16"/>
        <v>Reading2</v>
      </c>
      <c r="G564" s="541" t="str">
        <f t="shared" si="17"/>
        <v>NHS Oxfordshire CCG</v>
      </c>
      <c r="H564" s="546">
        <v>1.5581759371488229E-3</v>
      </c>
      <c r="I564" s="546">
        <v>6.0966095272062589E-3</v>
      </c>
      <c r="J564" s="384">
        <f>VLOOKUP($A564,'8.Non-elective admissions - CCG'!$D$5:$N$215,3,0)*$H564</f>
        <v>19.527060844349048</v>
      </c>
      <c r="K564" s="384">
        <f>VLOOKUP($A564,'8.Non-elective admissions - CCG'!$D$5:$N$215,4,0)*$H564</f>
        <v>19.927512060196296</v>
      </c>
      <c r="L564" s="384">
        <f>VLOOKUP($A564,'8.Non-elective admissions - CCG'!$D$5:$N$215,5,0)*$H564</f>
        <v>20.084887829848327</v>
      </c>
      <c r="M564" s="384">
        <f>VLOOKUP($A564,'8.Non-elective admissions - CCG'!$D$5:$N$215,6,0)*$H564</f>
        <v>19.637691335886615</v>
      </c>
      <c r="N564" s="384">
        <f>VLOOKUP($A564,'8.Non-elective admissions - CCG'!$D$5:$N$215,7,0)*$H564</f>
        <v>18.885092358243735</v>
      </c>
      <c r="O564" s="384">
        <f>VLOOKUP($A564,'8.Non-elective admissions - CCG'!$D$5:$N$215,8,0)*$H564</f>
        <v>19.478757390297435</v>
      </c>
      <c r="P564" s="384">
        <f>VLOOKUP($A564,'8.Non-elective admissions - CCG'!$D$5:$N$215,9,0)*$H564</f>
        <v>19.788834401790051</v>
      </c>
      <c r="Q564" s="384">
        <f>VLOOKUP($A564,'8.Non-elective admissions - CCG'!$D$5:$N$215,10,0)*$H564</f>
        <v>18.852370663563608</v>
      </c>
      <c r="R564" s="384">
        <f>VLOOKUP($A564,'8.Non-elective admissions - CCG'!$D$5:$Q$215,11,0)*$H564</f>
        <v>19.246589175662262</v>
      </c>
      <c r="S564" s="384">
        <f>VLOOKUP($A564,'8.Non-elective admissions - CCG'!$D$5:$Q$215,12,0)*$H564</f>
        <v>19.854277791150302</v>
      </c>
      <c r="T564" s="384">
        <f>VLOOKUP($A564,'8.Non-elective admissions - CCG'!$D$5:$Q$215,13,0)*$H564</f>
        <v>20.164354802642919</v>
      </c>
      <c r="U564" s="384">
        <f>VLOOKUP($A564,'8.Non-elective admissions - CCG'!$D$5:$Q$215,14,0)*$H564</f>
        <v>19.213867480982135</v>
      </c>
    </row>
    <row r="565" spans="1:21">
      <c r="A565" s="395" t="s">
        <v>470</v>
      </c>
      <c r="B565" s="395" t="s">
        <v>469</v>
      </c>
      <c r="C565" s="395" t="s">
        <v>789</v>
      </c>
      <c r="D565" s="395" t="s">
        <v>483</v>
      </c>
      <c r="E565" s="537">
        <f>COUNTIF($D$5:D565,D565)</f>
        <v>5</v>
      </c>
      <c r="F565" s="537" t="str">
        <f t="shared" si="16"/>
        <v>Warwickshire5</v>
      </c>
      <c r="G565" s="541" t="str">
        <f t="shared" si="17"/>
        <v>NHS Oxfordshire CCG</v>
      </c>
      <c r="H565" s="546">
        <v>2.6520325365366618E-3</v>
      </c>
      <c r="I565" s="546">
        <v>3.2408084267981094E-3</v>
      </c>
      <c r="J565" s="384">
        <f>VLOOKUP($A565,'8.Non-elective admissions - CCG'!$D$5:$N$215,3,0)*$H565</f>
        <v>33.235271747877448</v>
      </c>
      <c r="K565" s="384">
        <f>VLOOKUP($A565,'8.Non-elective admissions - CCG'!$D$5:$N$215,4,0)*$H565</f>
        <v>33.916844109767368</v>
      </c>
      <c r="L565" s="384">
        <f>VLOOKUP($A565,'8.Non-elective admissions - CCG'!$D$5:$N$215,5,0)*$H565</f>
        <v>34.184699395957573</v>
      </c>
      <c r="M565" s="384">
        <f>VLOOKUP($A565,'8.Non-elective admissions - CCG'!$D$5:$N$215,6,0)*$H565</f>
        <v>33.423566057971549</v>
      </c>
      <c r="N565" s="384">
        <f>VLOOKUP($A565,'8.Non-elective admissions - CCG'!$D$5:$N$215,7,0)*$H565</f>
        <v>32.142634342824344</v>
      </c>
      <c r="O565" s="384">
        <f>VLOOKUP($A565,'8.Non-elective admissions - CCG'!$D$5:$N$215,8,0)*$H565</f>
        <v>33.153058739244813</v>
      </c>
      <c r="P565" s="384">
        <f>VLOOKUP($A565,'8.Non-elective admissions - CCG'!$D$5:$N$215,9,0)*$H565</f>
        <v>33.680813214015608</v>
      </c>
      <c r="Q565" s="384">
        <f>VLOOKUP($A565,'8.Non-elective admissions - CCG'!$D$5:$N$215,10,0)*$H565</f>
        <v>32.08694165955707</v>
      </c>
      <c r="R565" s="384">
        <f>VLOOKUP($A565,'8.Non-elective admissions - CCG'!$D$5:$Q$215,11,0)*$H565</f>
        <v>32.757905891300844</v>
      </c>
      <c r="S565" s="384">
        <f>VLOOKUP($A565,'8.Non-elective admissions - CCG'!$D$5:$Q$215,12,0)*$H565</f>
        <v>33.792198580550142</v>
      </c>
      <c r="T565" s="384">
        <f>VLOOKUP($A565,'8.Non-elective admissions - CCG'!$D$5:$Q$215,13,0)*$H565</f>
        <v>34.319953055320937</v>
      </c>
      <c r="U565" s="384">
        <f>VLOOKUP($A565,'8.Non-elective admissions - CCG'!$D$5:$Q$215,14,0)*$H565</f>
        <v>32.702213208033577</v>
      </c>
    </row>
    <row r="566" spans="1:21">
      <c r="A566" s="395" t="s">
        <v>470</v>
      </c>
      <c r="B566" s="395" t="s">
        <v>469</v>
      </c>
      <c r="C566" s="395" t="s">
        <v>790</v>
      </c>
      <c r="D566" s="395" t="s">
        <v>486</v>
      </c>
      <c r="E566" s="537">
        <f>COUNTIF($D$5:D566,D566)</f>
        <v>4</v>
      </c>
      <c r="F566" s="537" t="str">
        <f t="shared" si="16"/>
        <v>West Berkshire4</v>
      </c>
      <c r="G566" s="541" t="str">
        <f t="shared" si="17"/>
        <v>NHS Oxfordshire CCG</v>
      </c>
      <c r="H566" s="546">
        <v>2.4184485752090502E-3</v>
      </c>
      <c r="I566" s="546">
        <v>1.0398931935377191E-2</v>
      </c>
      <c r="J566" s="384">
        <f>VLOOKUP($A566,'8.Non-elective admissions - CCG'!$D$5:$N$215,3,0)*$H566</f>
        <v>30.307997544519818</v>
      </c>
      <c r="K566" s="384">
        <f>VLOOKUP($A566,'8.Non-elective admissions - CCG'!$D$5:$N$215,4,0)*$H566</f>
        <v>30.929538828348544</v>
      </c>
      <c r="L566" s="384">
        <f>VLOOKUP($A566,'8.Non-elective admissions - CCG'!$D$5:$N$215,5,0)*$H566</f>
        <v>31.173802134444657</v>
      </c>
      <c r="M566" s="384">
        <f>VLOOKUP($A566,'8.Non-elective admissions - CCG'!$D$5:$N$215,6,0)*$H566</f>
        <v>30.479707393359661</v>
      </c>
      <c r="N566" s="384">
        <f>VLOOKUP($A566,'8.Non-elective admissions - CCG'!$D$5:$N$215,7,0)*$H566</f>
        <v>29.31159673153369</v>
      </c>
      <c r="O566" s="384">
        <f>VLOOKUP($A566,'8.Non-elective admissions - CCG'!$D$5:$N$215,8,0)*$H566</f>
        <v>30.233025638688336</v>
      </c>
      <c r="P566" s="384">
        <f>VLOOKUP($A566,'8.Non-elective admissions - CCG'!$D$5:$N$215,9,0)*$H566</f>
        <v>30.714296905154939</v>
      </c>
      <c r="Q566" s="384">
        <f>VLOOKUP($A566,'8.Non-elective admissions - CCG'!$D$5:$N$215,10,0)*$H566</f>
        <v>29.260809311454299</v>
      </c>
      <c r="R566" s="384">
        <f>VLOOKUP($A566,'8.Non-elective admissions - CCG'!$D$5:$Q$215,11,0)*$H566</f>
        <v>29.872676800982187</v>
      </c>
      <c r="S566" s="384">
        <f>VLOOKUP($A566,'8.Non-elective admissions - CCG'!$D$5:$Q$215,12,0)*$H566</f>
        <v>30.815871745313718</v>
      </c>
      <c r="T566" s="384">
        <f>VLOOKUP($A566,'8.Non-elective admissions - CCG'!$D$5:$Q$215,13,0)*$H566</f>
        <v>31.297143011780317</v>
      </c>
      <c r="U566" s="384">
        <f>VLOOKUP($A566,'8.Non-elective admissions - CCG'!$D$5:$Q$215,14,0)*$H566</f>
        <v>29.8218893809028</v>
      </c>
    </row>
    <row r="567" spans="1:21">
      <c r="A567" s="395" t="s">
        <v>470</v>
      </c>
      <c r="B567" s="395" t="s">
        <v>469</v>
      </c>
      <c r="C567" s="395" t="s">
        <v>795</v>
      </c>
      <c r="D567" s="395" t="s">
        <v>501</v>
      </c>
      <c r="E567" s="537">
        <f>COUNTIF($D$5:D567,D567)</f>
        <v>4</v>
      </c>
      <c r="F567" s="537" t="str">
        <f t="shared" si="16"/>
        <v>Windsor and Maidenhead4</v>
      </c>
      <c r="G567" s="541" t="str">
        <f t="shared" si="17"/>
        <v>NHS Oxfordshire CCG</v>
      </c>
      <c r="H567" s="546">
        <v>0</v>
      </c>
      <c r="I567" s="546">
        <v>1.6111742314827298E-3</v>
      </c>
      <c r="J567" s="384">
        <f>VLOOKUP($A567,'8.Non-elective admissions - CCG'!$D$5:$N$215,3,0)*$H567</f>
        <v>0</v>
      </c>
      <c r="K567" s="384">
        <f>VLOOKUP($A567,'8.Non-elective admissions - CCG'!$D$5:$N$215,4,0)*$H567</f>
        <v>0</v>
      </c>
      <c r="L567" s="384">
        <f>VLOOKUP($A567,'8.Non-elective admissions - CCG'!$D$5:$N$215,5,0)*$H567</f>
        <v>0</v>
      </c>
      <c r="M567" s="384">
        <f>VLOOKUP($A567,'8.Non-elective admissions - CCG'!$D$5:$N$215,6,0)*$H567</f>
        <v>0</v>
      </c>
      <c r="N567" s="384">
        <f>VLOOKUP($A567,'8.Non-elective admissions - CCG'!$D$5:$N$215,7,0)*$H567</f>
        <v>0</v>
      </c>
      <c r="O567" s="384">
        <f>VLOOKUP($A567,'8.Non-elective admissions - CCG'!$D$5:$N$215,8,0)*$H567</f>
        <v>0</v>
      </c>
      <c r="P567" s="384">
        <f>VLOOKUP($A567,'8.Non-elective admissions - CCG'!$D$5:$N$215,9,0)*$H567</f>
        <v>0</v>
      </c>
      <c r="Q567" s="384">
        <f>VLOOKUP($A567,'8.Non-elective admissions - CCG'!$D$5:$N$215,10,0)*$H567</f>
        <v>0</v>
      </c>
      <c r="R567" s="384">
        <f>VLOOKUP($A567,'8.Non-elective admissions - CCG'!$D$5:$Q$215,11,0)*$H567</f>
        <v>0</v>
      </c>
      <c r="S567" s="384">
        <f>VLOOKUP($A567,'8.Non-elective admissions - CCG'!$D$5:$Q$215,12,0)*$H567</f>
        <v>0</v>
      </c>
      <c r="T567" s="384">
        <f>VLOOKUP($A567,'8.Non-elective admissions - CCG'!$D$5:$Q$215,13,0)*$H567</f>
        <v>0</v>
      </c>
      <c r="U567" s="384">
        <f>VLOOKUP($A567,'8.Non-elective admissions - CCG'!$D$5:$Q$215,14,0)*$H567</f>
        <v>0</v>
      </c>
    </row>
    <row r="568" spans="1:21">
      <c r="A568" s="395" t="s">
        <v>470</v>
      </c>
      <c r="B568" s="395" t="s">
        <v>469</v>
      </c>
      <c r="C568" s="395" t="s">
        <v>797</v>
      </c>
      <c r="D568" s="395" t="s">
        <v>507</v>
      </c>
      <c r="E568" s="537">
        <f>COUNTIF($D$5:D568,D568)</f>
        <v>3</v>
      </c>
      <c r="F568" s="537" t="str">
        <f t="shared" si="16"/>
        <v>Wokingham3</v>
      </c>
      <c r="G568" s="541" t="str">
        <f t="shared" si="17"/>
        <v>NHS Oxfordshire CCG</v>
      </c>
      <c r="H568" s="546">
        <v>1.1451311274841439E-3</v>
      </c>
      <c r="I568" s="546">
        <v>4.8157842720319135E-3</v>
      </c>
      <c r="J568" s="384">
        <f>VLOOKUP($A568,'8.Non-elective admissions - CCG'!$D$5:$N$215,3,0)*$H568</f>
        <v>14.350783289631291</v>
      </c>
      <c r="K568" s="384">
        <f>VLOOKUP($A568,'8.Non-elective admissions - CCG'!$D$5:$N$215,4,0)*$H568</f>
        <v>14.645081989394717</v>
      </c>
      <c r="L568" s="384">
        <f>VLOOKUP($A568,'8.Non-elective admissions - CCG'!$D$5:$N$215,5,0)*$H568</f>
        <v>14.760740233270614</v>
      </c>
      <c r="M568" s="384">
        <f>VLOOKUP($A568,'8.Non-elective admissions - CCG'!$D$5:$N$215,6,0)*$H568</f>
        <v>14.432087599682665</v>
      </c>
      <c r="N568" s="384">
        <f>VLOOKUP($A568,'8.Non-elective admissions - CCG'!$D$5:$N$215,7,0)*$H568</f>
        <v>13.878989265107824</v>
      </c>
      <c r="O568" s="384">
        <f>VLOOKUP($A568,'8.Non-elective admissions - CCG'!$D$5:$N$215,8,0)*$H568</f>
        <v>14.315284224679283</v>
      </c>
      <c r="P568" s="384">
        <f>VLOOKUP($A568,'8.Non-elective admissions - CCG'!$D$5:$N$215,9,0)*$H568</f>
        <v>14.543165319048628</v>
      </c>
      <c r="Q568" s="384">
        <f>VLOOKUP($A568,'8.Non-elective admissions - CCG'!$D$5:$N$215,10,0)*$H568</f>
        <v>13.854941511430656</v>
      </c>
      <c r="R568" s="384">
        <f>VLOOKUP($A568,'8.Non-elective admissions - CCG'!$D$5:$Q$215,11,0)*$H568</f>
        <v>14.144659686684145</v>
      </c>
      <c r="S568" s="384">
        <f>VLOOKUP($A568,'8.Non-elective admissions - CCG'!$D$5:$Q$215,12,0)*$H568</f>
        <v>14.59126082640296</v>
      </c>
      <c r="T568" s="384">
        <f>VLOOKUP($A568,'8.Non-elective admissions - CCG'!$D$5:$Q$215,13,0)*$H568</f>
        <v>14.819141920772307</v>
      </c>
      <c r="U568" s="384">
        <f>VLOOKUP($A568,'8.Non-elective admissions - CCG'!$D$5:$Q$215,14,0)*$H568</f>
        <v>14.120611933006979</v>
      </c>
    </row>
    <row r="569" spans="1:21">
      <c r="A569" s="395" t="s">
        <v>473</v>
      </c>
      <c r="B569" s="395" t="s">
        <v>472</v>
      </c>
      <c r="C569" s="395" t="s">
        <v>699</v>
      </c>
      <c r="D569" s="395" t="s">
        <v>205</v>
      </c>
      <c r="E569" s="537">
        <f>COUNTIF($D$5:D569,D569)</f>
        <v>10</v>
      </c>
      <c r="F569" s="537" t="str">
        <f t="shared" si="16"/>
        <v>Hampshire10</v>
      </c>
      <c r="G569" s="541" t="str">
        <f t="shared" si="17"/>
        <v>NHS Portsmouth CCG</v>
      </c>
      <c r="H569" s="546">
        <v>4.6129598183711568E-2</v>
      </c>
      <c r="I569" s="546">
        <v>7.2429663902496156E-3</v>
      </c>
      <c r="J569" s="384">
        <f>VLOOKUP($A569,'8.Non-elective admissions - CCG'!$D$5:$N$215,3,0)*$H569</f>
        <v>230.5096021240067</v>
      </c>
      <c r="K569" s="384">
        <f>VLOOKUP($A569,'8.Non-elective admissions - CCG'!$D$5:$N$215,4,0)*$H569</f>
        <v>225.25082793106358</v>
      </c>
      <c r="L569" s="384">
        <f>VLOOKUP($A569,'8.Non-elective admissions - CCG'!$D$5:$N$215,5,0)*$H569</f>
        <v>247.94659023744967</v>
      </c>
      <c r="M569" s="384">
        <f>VLOOKUP($A569,'8.Non-elective admissions - CCG'!$D$5:$N$215,6,0)*$H569</f>
        <v>232.17026765862033</v>
      </c>
      <c r="N569" s="384">
        <f>VLOOKUP($A569,'8.Non-elective admissions - CCG'!$D$5:$N$215,7,0)*$H569</f>
        <v>224.37436556557307</v>
      </c>
      <c r="O569" s="384">
        <f>VLOOKUP($A569,'8.Non-elective admissions - CCG'!$D$5:$N$215,8,0)*$H569</f>
        <v>220.73012730905984</v>
      </c>
      <c r="P569" s="384">
        <f>VLOOKUP($A569,'8.Non-elective admissions - CCG'!$D$5:$N$215,9,0)*$H569</f>
        <v>224.00532878010338</v>
      </c>
      <c r="Q569" s="384">
        <f>VLOOKUP($A569,'8.Non-elective admissions - CCG'!$D$5:$N$215,10,0)*$H569</f>
        <v>223.22112561098027</v>
      </c>
      <c r="R569" s="384">
        <f>VLOOKUP($A569,'8.Non-elective admissions - CCG'!$D$5:$Q$215,11,0)*$H569</f>
        <v>214.68714994699363</v>
      </c>
      <c r="S569" s="384">
        <f>VLOOKUP($A569,'8.Non-elective admissions - CCG'!$D$5:$Q$215,12,0)*$H569</f>
        <v>211.04291169048042</v>
      </c>
      <c r="T569" s="384">
        <f>VLOOKUP($A569,'8.Non-elective admissions - CCG'!$D$5:$Q$215,13,0)*$H569</f>
        <v>225.38921672561472</v>
      </c>
      <c r="U569" s="384">
        <f>VLOOKUP($A569,'8.Non-elective admissions - CCG'!$D$5:$Q$215,14,0)*$H569</f>
        <v>226.45019748384007</v>
      </c>
    </row>
    <row r="570" spans="1:21">
      <c r="A570" s="395" t="s">
        <v>473</v>
      </c>
      <c r="B570" s="395" t="s">
        <v>472</v>
      </c>
      <c r="C570" s="395" t="s">
        <v>747</v>
      </c>
      <c r="D570" s="395" t="s">
        <v>357</v>
      </c>
      <c r="E570" s="537">
        <f>COUNTIF($D$5:D570,D570)</f>
        <v>2</v>
      </c>
      <c r="F570" s="537" t="str">
        <f t="shared" si="16"/>
        <v>Portsmouth2</v>
      </c>
      <c r="G570" s="541" t="str">
        <f t="shared" si="17"/>
        <v>NHS Portsmouth CCG</v>
      </c>
      <c r="H570" s="546">
        <v>0.95387040181628835</v>
      </c>
      <c r="I570" s="546">
        <v>0.9847026977293748</v>
      </c>
      <c r="J570" s="384">
        <f>VLOOKUP($A570,'8.Non-elective admissions - CCG'!$D$5:$N$215,3,0)*$H570</f>
        <v>4766.490397875993</v>
      </c>
      <c r="K570" s="384">
        <f>VLOOKUP($A570,'8.Non-elective admissions - CCG'!$D$5:$N$215,4,0)*$H570</f>
        <v>4657.7491720689359</v>
      </c>
      <c r="L570" s="384">
        <f>VLOOKUP($A570,'8.Non-elective admissions - CCG'!$D$5:$N$215,5,0)*$H570</f>
        <v>5127.0534097625496</v>
      </c>
      <c r="M570" s="384">
        <f>VLOOKUP($A570,'8.Non-elective admissions - CCG'!$D$5:$N$215,6,0)*$H570</f>
        <v>4800.829732341379</v>
      </c>
      <c r="N570" s="384">
        <f>VLOOKUP($A570,'8.Non-elective admissions - CCG'!$D$5:$N$215,7,0)*$H570</f>
        <v>4639.6256344344265</v>
      </c>
      <c r="O570" s="384">
        <f>VLOOKUP($A570,'8.Non-elective admissions - CCG'!$D$5:$N$215,8,0)*$H570</f>
        <v>4564.2698726909393</v>
      </c>
      <c r="P570" s="384">
        <f>VLOOKUP($A570,'8.Non-elective admissions - CCG'!$D$5:$N$215,9,0)*$H570</f>
        <v>4631.9946712198962</v>
      </c>
      <c r="Q570" s="384">
        <f>VLOOKUP($A570,'8.Non-elective admissions - CCG'!$D$5:$N$215,10,0)*$H570</f>
        <v>4615.7788743890196</v>
      </c>
      <c r="R570" s="384">
        <f>VLOOKUP($A570,'8.Non-elective admissions - CCG'!$D$5:$Q$215,11,0)*$H570</f>
        <v>4439.3128500530056</v>
      </c>
      <c r="S570" s="384">
        <f>VLOOKUP($A570,'8.Non-elective admissions - CCG'!$D$5:$Q$215,12,0)*$H570</f>
        <v>4363.9570883095193</v>
      </c>
      <c r="T570" s="384">
        <f>VLOOKUP($A570,'8.Non-elective admissions - CCG'!$D$5:$Q$215,13,0)*$H570</f>
        <v>4660.6107832743846</v>
      </c>
      <c r="U570" s="384">
        <f>VLOOKUP($A570,'8.Non-elective admissions - CCG'!$D$5:$Q$215,14,0)*$H570</f>
        <v>4682.5498025161596</v>
      </c>
    </row>
    <row r="571" spans="1:21">
      <c r="A571" s="395" t="s">
        <v>476</v>
      </c>
      <c r="B571" s="395" t="s">
        <v>475</v>
      </c>
      <c r="C571" s="395" t="s">
        <v>650</v>
      </c>
      <c r="D571" s="395" t="s">
        <v>9</v>
      </c>
      <c r="E571" s="537">
        <f>COUNTIF($D$5:D571,D571)</f>
        <v>4</v>
      </c>
      <c r="F571" s="537" t="str">
        <f t="shared" si="16"/>
        <v>Barking and Dagenham4</v>
      </c>
      <c r="G571" s="541" t="str">
        <f t="shared" si="17"/>
        <v>NHS Redbridge CCG</v>
      </c>
      <c r="H571" s="546">
        <v>1.9996590521650186E-2</v>
      </c>
      <c r="I571" s="546">
        <v>2.8186816355562392E-2</v>
      </c>
      <c r="J571" s="384">
        <f>VLOOKUP($A571,'8.Non-elective admissions - CCG'!$D$5:$N$215,3,0)*$H571</f>
        <v>134.39708489601091</v>
      </c>
      <c r="K571" s="384">
        <f>VLOOKUP($A571,'8.Non-elective admissions - CCG'!$D$5:$N$215,4,0)*$H571</f>
        <v>130.35777361063757</v>
      </c>
      <c r="L571" s="384">
        <f>VLOOKUP($A571,'8.Non-elective admissions - CCG'!$D$5:$N$215,5,0)*$H571</f>
        <v>131.91750767132629</v>
      </c>
      <c r="M571" s="384">
        <f>VLOOKUP($A571,'8.Non-elective admissions - CCG'!$D$5:$N$215,6,0)*$H571</f>
        <v>144.95528469144219</v>
      </c>
      <c r="N571" s="384">
        <f>VLOOKUP($A571,'8.Non-elective admissions - CCG'!$D$5:$N$215,7,0)*$H571</f>
        <v>135.07832074326629</v>
      </c>
      <c r="O571" s="384">
        <f>VLOOKUP($A571,'8.Non-elective admissions - CCG'!$D$5:$N$215,8,0)*$H571</f>
        <v>128.31828135015343</v>
      </c>
      <c r="P571" s="384">
        <f>VLOOKUP($A571,'8.Non-elective admissions - CCG'!$D$5:$N$215,9,0)*$H571</f>
        <v>129.14955561541086</v>
      </c>
      <c r="Q571" s="384">
        <f>VLOOKUP($A571,'8.Non-elective admissions - CCG'!$D$5:$N$215,10,0)*$H571</f>
        <v>142.99280330037504</v>
      </c>
      <c r="R571" s="384">
        <f>VLOOKUP($A571,'8.Non-elective admissions - CCG'!$D$5:$Q$215,11,0)*$H571</f>
        <v>137.7064989950324</v>
      </c>
      <c r="S571" s="384">
        <f>VLOOKUP($A571,'8.Non-elective admissions - CCG'!$D$5:$Q$215,12,0)*$H571</f>
        <v>130.81463883375383</v>
      </c>
      <c r="T571" s="384">
        <f>VLOOKUP($A571,'8.Non-elective admissions - CCG'!$D$5:$Q$215,13,0)*$H571</f>
        <v>131.66212294718378</v>
      </c>
      <c r="U571" s="384">
        <f>VLOOKUP($A571,'8.Non-elective admissions - CCG'!$D$5:$Q$215,14,0)*$H571</f>
        <v>161.79147690843334</v>
      </c>
    </row>
    <row r="572" spans="1:21">
      <c r="A572" s="395" t="s">
        <v>476</v>
      </c>
      <c r="B572" s="395" t="s">
        <v>475</v>
      </c>
      <c r="C572" s="395" t="s">
        <v>692</v>
      </c>
      <c r="D572" s="395" t="s">
        <v>180</v>
      </c>
      <c r="E572" s="537">
        <f>COUNTIF($D$5:D572,D572)</f>
        <v>9</v>
      </c>
      <c r="F572" s="537" t="str">
        <f t="shared" si="16"/>
        <v>Essex9</v>
      </c>
      <c r="G572" s="541" t="str">
        <f t="shared" si="17"/>
        <v>NHS Redbridge CCG</v>
      </c>
      <c r="H572" s="546">
        <v>3.1963859529491982E-2</v>
      </c>
      <c r="I572" s="546">
        <v>6.3673978363751943E-3</v>
      </c>
      <c r="J572" s="384">
        <f>VLOOKUP($A572,'8.Non-elective admissions - CCG'!$D$5:$N$215,3,0)*$H572</f>
        <v>214.82909989771562</v>
      </c>
      <c r="K572" s="384">
        <f>VLOOKUP($A572,'8.Non-elective admissions - CCG'!$D$5:$N$215,4,0)*$H572</f>
        <v>208.37240027275823</v>
      </c>
      <c r="L572" s="384">
        <f>VLOOKUP($A572,'8.Non-elective admissions - CCG'!$D$5:$N$215,5,0)*$H572</f>
        <v>210.86558131605861</v>
      </c>
      <c r="M572" s="384">
        <f>VLOOKUP($A572,'8.Non-elective admissions - CCG'!$D$5:$N$215,6,0)*$H572</f>
        <v>231.70601772928737</v>
      </c>
      <c r="N572" s="384">
        <f>VLOOKUP($A572,'8.Non-elective admissions - CCG'!$D$5:$N$215,7,0)*$H572</f>
        <v>215.91803187862254</v>
      </c>
      <c r="O572" s="384">
        <f>VLOOKUP($A572,'8.Non-elective admissions - CCG'!$D$5:$N$215,8,0)*$H572</f>
        <v>205.11234231162629</v>
      </c>
      <c r="P572" s="384">
        <f>VLOOKUP($A572,'8.Non-elective admissions - CCG'!$D$5:$N$215,9,0)*$H572</f>
        <v>206.44110552335493</v>
      </c>
      <c r="Q572" s="384">
        <f>VLOOKUP($A572,'8.Non-elective admissions - CCG'!$D$5:$N$215,10,0)*$H572</f>
        <v>228.56905898397542</v>
      </c>
      <c r="R572" s="384">
        <f>VLOOKUP($A572,'8.Non-elective admissions - CCG'!$D$5:$Q$215,11,0)*$H572</f>
        <v>220.11908407134334</v>
      </c>
      <c r="S572" s="384">
        <f>VLOOKUP($A572,'8.Non-elective admissions - CCG'!$D$5:$Q$215,12,0)*$H572</f>
        <v>209.10268355779061</v>
      </c>
      <c r="T572" s="384">
        <f>VLOOKUP($A572,'8.Non-elective admissions - CCG'!$D$5:$Q$215,13,0)*$H572</f>
        <v>210.45735765214795</v>
      </c>
      <c r="U572" s="384">
        <f>VLOOKUP($A572,'8.Non-elective admissions - CCG'!$D$5:$Q$215,14,0)*$H572</f>
        <v>258.61808968739342</v>
      </c>
    </row>
    <row r="573" spans="1:21">
      <c r="A573" s="395" t="s">
        <v>476</v>
      </c>
      <c r="B573" s="395" t="s">
        <v>475</v>
      </c>
      <c r="C573" s="395" t="s">
        <v>703</v>
      </c>
      <c r="D573" s="395" t="s">
        <v>219</v>
      </c>
      <c r="E573" s="537">
        <f>COUNTIF($D$5:D573,D573)</f>
        <v>3</v>
      </c>
      <c r="F573" s="537" t="str">
        <f t="shared" si="16"/>
        <v>Havering3</v>
      </c>
      <c r="G573" s="541" t="str">
        <f t="shared" si="17"/>
        <v>NHS Redbridge CCG</v>
      </c>
      <c r="H573" s="546">
        <v>4.1970678486191607E-3</v>
      </c>
      <c r="I573" s="546">
        <v>4.9460991710964589E-3</v>
      </c>
      <c r="J573" s="384">
        <f>VLOOKUP($A573,'8.Non-elective admissions - CCG'!$D$5:$N$215,3,0)*$H573</f>
        <v>28.208493010569381</v>
      </c>
      <c r="K573" s="384">
        <f>VLOOKUP($A573,'8.Non-elective admissions - CCG'!$D$5:$N$215,4,0)*$H573</f>
        <v>27.360685305148309</v>
      </c>
      <c r="L573" s="384">
        <f>VLOOKUP($A573,'8.Non-elective admissions - CCG'!$D$5:$N$215,5,0)*$H573</f>
        <v>27.688056597340601</v>
      </c>
      <c r="M573" s="384">
        <f>VLOOKUP($A573,'8.Non-elective admissions - CCG'!$D$5:$N$215,6,0)*$H573</f>
        <v>30.424544834640297</v>
      </c>
      <c r="N573" s="384">
        <f>VLOOKUP($A573,'8.Non-elective admissions - CCG'!$D$5:$N$215,7,0)*$H573</f>
        <v>28.351477039208998</v>
      </c>
      <c r="O573" s="384">
        <f>VLOOKUP($A573,'8.Non-elective admissions - CCG'!$D$5:$N$215,8,0)*$H573</f>
        <v>26.932617961131943</v>
      </c>
      <c r="P573" s="384">
        <f>VLOOKUP($A573,'8.Non-elective admissions - CCG'!$D$5:$N$215,9,0)*$H573</f>
        <v>27.107093429253325</v>
      </c>
      <c r="Q573" s="384">
        <f>VLOOKUP($A573,'8.Non-elective admissions - CCG'!$D$5:$N$215,10,0)*$H573</f>
        <v>30.012641238322537</v>
      </c>
      <c r="R573" s="384">
        <f>VLOOKUP($A573,'8.Non-elective admissions - CCG'!$D$5:$Q$215,11,0)*$H573</f>
        <v>28.903103199127855</v>
      </c>
      <c r="S573" s="384">
        <f>VLOOKUP($A573,'8.Non-elective admissions - CCG'!$D$5:$Q$215,12,0)*$H573</f>
        <v>27.456576369028294</v>
      </c>
      <c r="T573" s="384">
        <f>VLOOKUP($A573,'8.Non-elective admissions - CCG'!$D$5:$Q$215,13,0)*$H573</f>
        <v>27.634454108778041</v>
      </c>
      <c r="U573" s="384">
        <f>VLOOKUP($A573,'8.Non-elective admissions - CCG'!$D$5:$Q$215,14,0)*$H573</f>
        <v>33.958279296552668</v>
      </c>
    </row>
    <row r="574" spans="1:21">
      <c r="A574" s="395" t="s">
        <v>476</v>
      </c>
      <c r="B574" s="395" t="s">
        <v>475</v>
      </c>
      <c r="C574" s="395" t="s">
        <v>732</v>
      </c>
      <c r="D574" s="395" t="s">
        <v>312</v>
      </c>
      <c r="E574" s="537">
        <f>COUNTIF($D$5:D574,D574)</f>
        <v>3</v>
      </c>
      <c r="F574" s="537" t="str">
        <f t="shared" si="16"/>
        <v>Newham3</v>
      </c>
      <c r="G574" s="541" t="str">
        <f t="shared" si="17"/>
        <v>NHS Redbridge CCG</v>
      </c>
      <c r="H574" s="546">
        <v>2.0661438799863619E-3</v>
      </c>
      <c r="I574" s="546">
        <v>1.6736170565329058E-3</v>
      </c>
      <c r="J574" s="384">
        <f>VLOOKUP($A574,'8.Non-elective admissions - CCG'!$D$5:$N$215,3,0)*$H574</f>
        <v>13.886553017388339</v>
      </c>
      <c r="K574" s="384">
        <f>VLOOKUP($A574,'8.Non-elective admissions - CCG'!$D$5:$N$215,4,0)*$H574</f>
        <v>13.469191953631093</v>
      </c>
      <c r="L574" s="384">
        <f>VLOOKUP($A574,'8.Non-elective admissions - CCG'!$D$5:$N$215,5,0)*$H574</f>
        <v>13.630351176270029</v>
      </c>
      <c r="M574" s="384">
        <f>VLOOKUP($A574,'8.Non-elective admissions - CCG'!$D$5:$N$215,6,0)*$H574</f>
        <v>14.977476986021138</v>
      </c>
      <c r="N574" s="384">
        <f>VLOOKUP($A574,'8.Non-elective admissions - CCG'!$D$5:$N$215,7,0)*$H574</f>
        <v>13.956941580634162</v>
      </c>
      <c r="O574" s="384">
        <f>VLOOKUP($A574,'8.Non-elective admissions - CCG'!$D$5:$N$215,8,0)*$H574</f>
        <v>13.258461807023524</v>
      </c>
      <c r="P574" s="384">
        <f>VLOOKUP($A574,'8.Non-elective admissions - CCG'!$D$5:$N$215,9,0)*$H574</f>
        <v>13.344353061029663</v>
      </c>
      <c r="Q574" s="384">
        <f>VLOOKUP($A574,'8.Non-elective admissions - CCG'!$D$5:$N$215,10,0)*$H574</f>
        <v>14.774703972724174</v>
      </c>
      <c r="R574" s="384">
        <f>VLOOKUP($A574,'8.Non-elective admissions - CCG'!$D$5:$Q$215,11,0)*$H574</f>
        <v>14.228497594371634</v>
      </c>
      <c r="S574" s="384">
        <f>VLOOKUP($A574,'8.Non-elective admissions - CCG'!$D$5:$Q$215,12,0)*$H574</f>
        <v>13.516397465175586</v>
      </c>
      <c r="T574" s="384">
        <f>VLOOKUP($A574,'8.Non-elective admissions - CCG'!$D$5:$Q$215,13,0)*$H574</f>
        <v>13.603963598634843</v>
      </c>
      <c r="U574" s="384">
        <f>VLOOKUP($A574,'8.Non-elective admissions - CCG'!$D$5:$Q$215,14,0)*$H574</f>
        <v>16.717073317393112</v>
      </c>
    </row>
    <row r="575" spans="1:21">
      <c r="A575" s="395" t="s">
        <v>476</v>
      </c>
      <c r="B575" s="395" t="s">
        <v>475</v>
      </c>
      <c r="C575" s="395" t="s">
        <v>749</v>
      </c>
      <c r="D575" s="395" t="s">
        <v>363</v>
      </c>
      <c r="E575" s="537">
        <f>COUNTIF($D$5:D575,D575)</f>
        <v>4</v>
      </c>
      <c r="F575" s="537" t="str">
        <f t="shared" si="16"/>
        <v>Redbridge4</v>
      </c>
      <c r="G575" s="541" t="str">
        <f t="shared" si="17"/>
        <v>NHS Redbridge CCG</v>
      </c>
      <c r="H575" s="546">
        <v>0.92780429594272062</v>
      </c>
      <c r="I575" s="546">
        <v>0.88672703633584993</v>
      </c>
      <c r="J575" s="384">
        <f>VLOOKUP($A575,'8.Non-elective admissions - CCG'!$D$5:$N$215,3,0)*$H575</f>
        <v>6235.7726730310251</v>
      </c>
      <c r="K575" s="384">
        <f>VLOOKUP($A575,'8.Non-elective admissions - CCG'!$D$5:$N$215,4,0)*$H575</f>
        <v>6048.3562052505958</v>
      </c>
      <c r="L575" s="384">
        <f>VLOOKUP($A575,'8.Non-elective admissions - CCG'!$D$5:$N$215,5,0)*$H575</f>
        <v>6120.7249403341284</v>
      </c>
      <c r="M575" s="384">
        <f>VLOOKUP($A575,'8.Non-elective admissions - CCG'!$D$5:$N$215,6,0)*$H575</f>
        <v>6725.653341288782</v>
      </c>
      <c r="N575" s="384">
        <f>VLOOKUP($A575,'8.Non-elective admissions - CCG'!$D$5:$N$215,7,0)*$H575</f>
        <v>6267.3807386634835</v>
      </c>
      <c r="O575" s="384">
        <f>VLOOKUP($A575,'8.Non-elective admissions - CCG'!$D$5:$N$215,8,0)*$H575</f>
        <v>5953.7275894988052</v>
      </c>
      <c r="P575" s="384">
        <f>VLOOKUP($A575,'8.Non-elective admissions - CCG'!$D$5:$N$215,9,0)*$H575</f>
        <v>5992.2971563245828</v>
      </c>
      <c r="Q575" s="384">
        <f>VLOOKUP($A575,'8.Non-elective admissions - CCG'!$D$5:$N$215,10,0)*$H575</f>
        <v>6634.5978854415271</v>
      </c>
      <c r="R575" s="384">
        <f>VLOOKUP($A575,'8.Non-elective admissions - CCG'!$D$5:$Q$215,11,0)*$H575</f>
        <v>6389.3232803108594</v>
      </c>
      <c r="S575" s="384">
        <f>VLOOKUP($A575,'8.Non-elective admissions - CCG'!$D$5:$Q$215,12,0)*$H575</f>
        <v>6069.5538947374689</v>
      </c>
      <c r="T575" s="384">
        <f>VLOOKUP($A575,'8.Non-elective admissions - CCG'!$D$5:$Q$215,13,0)*$H575</f>
        <v>6108.8755681163475</v>
      </c>
      <c r="U575" s="384">
        <f>VLOOKUP($A575,'8.Non-elective admissions - CCG'!$D$5:$Q$215,14,0)*$H575</f>
        <v>7506.8210833260728</v>
      </c>
    </row>
    <row r="576" spans="1:21">
      <c r="A576" s="395" t="s">
        <v>476</v>
      </c>
      <c r="B576" s="395" t="s">
        <v>475</v>
      </c>
      <c r="C576" s="395" t="s">
        <v>786</v>
      </c>
      <c r="D576" s="395" t="s">
        <v>474</v>
      </c>
      <c r="E576" s="537">
        <f>COUNTIF($D$5:D576,D576)</f>
        <v>3</v>
      </c>
      <c r="F576" s="537" t="str">
        <f t="shared" si="16"/>
        <v>Waltham Forest3</v>
      </c>
      <c r="G576" s="541" t="str">
        <f t="shared" si="17"/>
        <v>NHS Redbridge CCG</v>
      </c>
      <c r="H576" s="546">
        <v>1.3972042277531536E-2</v>
      </c>
      <c r="I576" s="546">
        <v>1.4237719185482948E-2</v>
      </c>
      <c r="J576" s="384">
        <f>VLOOKUP($A576,'8.Non-elective admissions - CCG'!$D$5:$N$215,3,0)*$H576</f>
        <v>93.90609614728946</v>
      </c>
      <c r="K576" s="384">
        <f>VLOOKUP($A576,'8.Non-elective admissions - CCG'!$D$5:$N$215,4,0)*$H576</f>
        <v>91.083743607228087</v>
      </c>
      <c r="L576" s="384">
        <f>VLOOKUP($A576,'8.Non-elective admissions - CCG'!$D$5:$N$215,5,0)*$H576</f>
        <v>92.173562904875553</v>
      </c>
      <c r="M576" s="384">
        <f>VLOOKUP($A576,'8.Non-elective admissions - CCG'!$D$5:$N$215,6,0)*$H576</f>
        <v>101.2833344698261</v>
      </c>
      <c r="N576" s="384">
        <f>VLOOKUP($A576,'8.Non-elective admissions - CCG'!$D$5:$N$215,7,0)*$H576</f>
        <v>94.382090094783493</v>
      </c>
      <c r="O576" s="384">
        <f>VLOOKUP($A576,'8.Non-elective admissions - CCG'!$D$5:$N$215,8,0)*$H576</f>
        <v>89.658707071258092</v>
      </c>
      <c r="P576" s="384">
        <f>VLOOKUP($A576,'8.Non-elective admissions - CCG'!$D$5:$N$215,9,0)*$H576</f>
        <v>90.239536046368912</v>
      </c>
      <c r="Q576" s="384">
        <f>VLOOKUP($A576,'8.Non-elective admissions - CCG'!$D$5:$N$215,10,0)*$H576</f>
        <v>99.912107063075354</v>
      </c>
      <c r="R576" s="384">
        <f>VLOOKUP($A576,'8.Non-elective admissions - CCG'!$D$5:$Q$215,11,0)*$H576</f>
        <v>96.218454029265601</v>
      </c>
      <c r="S576" s="384">
        <f>VLOOKUP($A576,'8.Non-elective admissions - CCG'!$D$5:$Q$215,12,0)*$H576</f>
        <v>91.402965036781438</v>
      </c>
      <c r="T576" s="384">
        <f>VLOOKUP($A576,'8.Non-elective admissions - CCG'!$D$5:$Q$215,13,0)*$H576</f>
        <v>91.995120176906923</v>
      </c>
      <c r="U576" s="384">
        <f>VLOOKUP($A576,'8.Non-elective admissions - CCG'!$D$5:$Q$215,14,0)*$H576</f>
        <v>113.04713936415341</v>
      </c>
    </row>
    <row r="577" spans="1:21">
      <c r="A577" s="395" t="s">
        <v>479</v>
      </c>
      <c r="B577" s="395" t="s">
        <v>478</v>
      </c>
      <c r="C577" s="395" t="s">
        <v>656</v>
      </c>
      <c r="D577" s="395" t="s">
        <v>45</v>
      </c>
      <c r="E577" s="537">
        <f>COUNTIF($D$5:D577,D577)</f>
        <v>4</v>
      </c>
      <c r="F577" s="537" t="str">
        <f t="shared" si="16"/>
        <v>Birmingham4</v>
      </c>
      <c r="G577" s="541" t="str">
        <f t="shared" si="17"/>
        <v>NHS Redditch and Bromsgrove CCG</v>
      </c>
      <c r="H577" s="546">
        <v>2.771769699570318E-2</v>
      </c>
      <c r="I577" s="546">
        <v>4.0197522890723283E-3</v>
      </c>
      <c r="J577" s="384">
        <f>VLOOKUP($A577,'8.Non-elective admissions - CCG'!$D$5:$N$215,3,0)*$H577</f>
        <v>122.42906763002094</v>
      </c>
      <c r="K577" s="384">
        <f>VLOOKUP($A577,'8.Non-elective admissions - CCG'!$D$5:$N$215,4,0)*$H577</f>
        <v>115.38877259311234</v>
      </c>
      <c r="L577" s="384">
        <f>VLOOKUP($A577,'8.Non-elective admissions - CCG'!$D$5:$N$215,5,0)*$H577</f>
        <v>121.45894823517133</v>
      </c>
      <c r="M577" s="384">
        <f>VLOOKUP($A577,'8.Non-elective admissions - CCG'!$D$5:$N$215,6,0)*$H577</f>
        <v>119.3801209604936</v>
      </c>
      <c r="N577" s="384">
        <f>VLOOKUP($A577,'8.Non-elective admissions - CCG'!$D$5:$N$215,7,0)*$H577</f>
        <v>114.72354786521547</v>
      </c>
      <c r="O577" s="384">
        <f>VLOOKUP($A577,'8.Non-elective admissions - CCG'!$D$5:$N$215,8,0)*$H577</f>
        <v>113.69799307637444</v>
      </c>
      <c r="P577" s="384">
        <f>VLOOKUP($A577,'8.Non-elective admissions - CCG'!$D$5:$N$215,9,0)*$H577</f>
        <v>122.09645526607251</v>
      </c>
      <c r="Q577" s="384">
        <f>VLOOKUP($A577,'8.Non-elective admissions - CCG'!$D$5:$N$215,10,0)*$H577</f>
        <v>116.8023751398932</v>
      </c>
      <c r="R577" s="384">
        <f>VLOOKUP($A577,'8.Non-elective admissions - CCG'!$D$5:$Q$215,11,0)*$H577</f>
        <v>111.56373040770529</v>
      </c>
      <c r="S577" s="384">
        <f>VLOOKUP($A577,'8.Non-elective admissions - CCG'!$D$5:$Q$215,12,0)*$H577</f>
        <v>110.51045792186858</v>
      </c>
      <c r="T577" s="384">
        <f>VLOOKUP($A577,'8.Non-elective admissions - CCG'!$D$5:$Q$215,13,0)*$H577</f>
        <v>118.68717853560102</v>
      </c>
      <c r="U577" s="384">
        <f>VLOOKUP($A577,'8.Non-elective admissions - CCG'!$D$5:$Q$215,14,0)*$H577</f>
        <v>113.69799307637444</v>
      </c>
    </row>
    <row r="578" spans="1:21">
      <c r="A578" s="395" t="s">
        <v>479</v>
      </c>
      <c r="B578" s="395" t="s">
        <v>478</v>
      </c>
      <c r="C578" s="395" t="s">
        <v>761</v>
      </c>
      <c r="D578" s="395" t="s">
        <v>399</v>
      </c>
      <c r="E578" s="537">
        <f>COUNTIF($D$5:D578,D578)</f>
        <v>3</v>
      </c>
      <c r="F578" s="537" t="str">
        <f t="shared" si="16"/>
        <v>Solihull3</v>
      </c>
      <c r="G578" s="541" t="str">
        <f t="shared" si="17"/>
        <v>NHS Redditch and Bromsgrove CCG</v>
      </c>
      <c r="H578" s="546">
        <v>4.6969319176819188E-3</v>
      </c>
      <c r="I578" s="546">
        <v>3.6819520709843998E-3</v>
      </c>
      <c r="J578" s="384">
        <f>VLOOKUP($A578,'8.Non-elective admissions - CCG'!$D$5:$N$215,3,0)*$H578</f>
        <v>20.746348280401037</v>
      </c>
      <c r="K578" s="384">
        <f>VLOOKUP($A578,'8.Non-elective admissions - CCG'!$D$5:$N$215,4,0)*$H578</f>
        <v>19.553327573309829</v>
      </c>
      <c r="L578" s="384">
        <f>VLOOKUP($A578,'8.Non-elective admissions - CCG'!$D$5:$N$215,5,0)*$H578</f>
        <v>20.581955663282169</v>
      </c>
      <c r="M578" s="384">
        <f>VLOOKUP($A578,'8.Non-elective admissions - CCG'!$D$5:$N$215,6,0)*$H578</f>
        <v>20.229685769456026</v>
      </c>
      <c r="N578" s="384">
        <f>VLOOKUP($A578,'8.Non-elective admissions - CCG'!$D$5:$N$215,7,0)*$H578</f>
        <v>19.440601207285461</v>
      </c>
      <c r="O578" s="384">
        <f>VLOOKUP($A578,'8.Non-elective admissions - CCG'!$D$5:$N$215,8,0)*$H578</f>
        <v>19.26681472633123</v>
      </c>
      <c r="P578" s="384">
        <f>VLOOKUP($A578,'8.Non-elective admissions - CCG'!$D$5:$N$215,9,0)*$H578</f>
        <v>20.689985097388853</v>
      </c>
      <c r="Q578" s="384">
        <f>VLOOKUP($A578,'8.Non-elective admissions - CCG'!$D$5:$N$215,10,0)*$H578</f>
        <v>19.792871101111604</v>
      </c>
      <c r="R578" s="384">
        <f>VLOOKUP($A578,'8.Non-elective admissions - CCG'!$D$5:$Q$215,11,0)*$H578</f>
        <v>18.905150968669723</v>
      </c>
      <c r="S578" s="384">
        <f>VLOOKUP($A578,'8.Non-elective admissions - CCG'!$D$5:$Q$215,12,0)*$H578</f>
        <v>18.72666755579781</v>
      </c>
      <c r="T578" s="384">
        <f>VLOOKUP($A578,'8.Non-elective admissions - CCG'!$D$5:$Q$215,13,0)*$H578</f>
        <v>20.112262471513976</v>
      </c>
      <c r="U578" s="384">
        <f>VLOOKUP($A578,'8.Non-elective admissions - CCG'!$D$5:$Q$215,14,0)*$H578</f>
        <v>19.26681472633123</v>
      </c>
    </row>
    <row r="579" spans="1:21">
      <c r="A579" s="395" t="s">
        <v>479</v>
      </c>
      <c r="B579" s="395" t="s">
        <v>478</v>
      </c>
      <c r="C579" s="395" t="s">
        <v>789</v>
      </c>
      <c r="D579" s="395" t="s">
        <v>483</v>
      </c>
      <c r="E579" s="537">
        <f>COUNTIF($D$5:D579,D579)</f>
        <v>6</v>
      </c>
      <c r="F579" s="537" t="str">
        <f t="shared" si="16"/>
        <v>Warwickshire6</v>
      </c>
      <c r="G579" s="541" t="str">
        <f t="shared" si="17"/>
        <v>NHS Redditch and Bromsgrove CCG</v>
      </c>
      <c r="H579" s="546">
        <v>7.9789855786794091E-3</v>
      </c>
      <c r="I579" s="546">
        <v>2.3949260984286783E-3</v>
      </c>
      <c r="J579" s="384">
        <f>VLOOKUP($A579,'8.Non-elective admissions - CCG'!$D$5:$N$215,3,0)*$H579</f>
        <v>35.243179301026949</v>
      </c>
      <c r="K579" s="384">
        <f>VLOOKUP($A579,'8.Non-elective admissions - CCG'!$D$5:$N$215,4,0)*$H579</f>
        <v>33.216516964042377</v>
      </c>
      <c r="L579" s="384">
        <f>VLOOKUP($A579,'8.Non-elective admissions - CCG'!$D$5:$N$215,5,0)*$H579</f>
        <v>34.963914805773172</v>
      </c>
      <c r="M579" s="384">
        <f>VLOOKUP($A579,'8.Non-elective admissions - CCG'!$D$5:$N$215,6,0)*$H579</f>
        <v>34.365490887372218</v>
      </c>
      <c r="N579" s="384">
        <f>VLOOKUP($A579,'8.Non-elective admissions - CCG'!$D$5:$N$215,7,0)*$H579</f>
        <v>33.025021310154074</v>
      </c>
      <c r="O579" s="384">
        <f>VLOOKUP($A579,'8.Non-elective admissions - CCG'!$D$5:$N$215,8,0)*$H579</f>
        <v>32.729798843742934</v>
      </c>
      <c r="P579" s="384">
        <f>VLOOKUP($A579,'8.Non-elective admissions - CCG'!$D$5:$N$215,9,0)*$H579</f>
        <v>35.147431474082801</v>
      </c>
      <c r="Q579" s="384">
        <f>VLOOKUP($A579,'8.Non-elective admissions - CCG'!$D$5:$N$215,10,0)*$H579</f>
        <v>33.623445228555028</v>
      </c>
      <c r="R579" s="384">
        <f>VLOOKUP($A579,'8.Non-elective admissions - CCG'!$D$5:$Q$215,11,0)*$H579</f>
        <v>32.115416954184624</v>
      </c>
      <c r="S579" s="384">
        <f>VLOOKUP($A579,'8.Non-elective admissions - CCG'!$D$5:$Q$215,12,0)*$H579</f>
        <v>31.812215502194803</v>
      </c>
      <c r="T579" s="384">
        <f>VLOOKUP($A579,'8.Non-elective admissions - CCG'!$D$5:$Q$215,13,0)*$H579</f>
        <v>34.166016247905233</v>
      </c>
      <c r="U579" s="384">
        <f>VLOOKUP($A579,'8.Non-elective admissions - CCG'!$D$5:$Q$215,14,0)*$H579</f>
        <v>32.729798843742934</v>
      </c>
    </row>
    <row r="580" spans="1:21">
      <c r="A580" s="395" t="s">
        <v>479</v>
      </c>
      <c r="B580" s="395" t="s">
        <v>478</v>
      </c>
      <c r="C580" s="395" t="s">
        <v>799</v>
      </c>
      <c r="D580" s="395" t="s">
        <v>513</v>
      </c>
      <c r="E580" s="537">
        <f>COUNTIF($D$5:D580,D580)</f>
        <v>6</v>
      </c>
      <c r="F580" s="537" t="str">
        <f t="shared" si="16"/>
        <v>Worcestershire6</v>
      </c>
      <c r="G580" s="541" t="str">
        <f t="shared" si="17"/>
        <v>NHS Redditch and Bromsgrove CCG</v>
      </c>
      <c r="H580" s="546">
        <v>0.95960638550793553</v>
      </c>
      <c r="I580" s="546">
        <v>0.2806634013310087</v>
      </c>
      <c r="J580" s="384">
        <f>VLOOKUP($A580,'8.Non-elective admissions - CCG'!$D$5:$N$215,3,0)*$H580</f>
        <v>4238.5814047885515</v>
      </c>
      <c r="K580" s="384">
        <f>VLOOKUP($A580,'8.Non-elective admissions - CCG'!$D$5:$N$215,4,0)*$H580</f>
        <v>3994.8413828695357</v>
      </c>
      <c r="L580" s="384">
        <f>VLOOKUP($A580,'8.Non-elective admissions - CCG'!$D$5:$N$215,5,0)*$H580</f>
        <v>4204.9951812957734</v>
      </c>
      <c r="M580" s="384">
        <f>VLOOKUP($A580,'8.Non-elective admissions - CCG'!$D$5:$N$215,6,0)*$H580</f>
        <v>4133.0247023826787</v>
      </c>
      <c r="N580" s="384">
        <f>VLOOKUP($A580,'8.Non-elective admissions - CCG'!$D$5:$N$215,7,0)*$H580</f>
        <v>3971.810829617345</v>
      </c>
      <c r="O580" s="384">
        <f>VLOOKUP($A580,'8.Non-elective admissions - CCG'!$D$5:$N$215,8,0)*$H580</f>
        <v>3936.3053933535516</v>
      </c>
      <c r="P580" s="384">
        <f>VLOOKUP($A580,'8.Non-elective admissions - CCG'!$D$5:$N$215,9,0)*$H580</f>
        <v>4227.0661281624562</v>
      </c>
      <c r="Q580" s="384">
        <f>VLOOKUP($A580,'8.Non-elective admissions - CCG'!$D$5:$N$215,10,0)*$H580</f>
        <v>4043.7813085304401</v>
      </c>
      <c r="R580" s="384">
        <f>VLOOKUP($A580,'8.Non-elective admissions - CCG'!$D$5:$Q$215,11,0)*$H580</f>
        <v>3862.4157016694403</v>
      </c>
      <c r="S580" s="384">
        <f>VLOOKUP($A580,'8.Non-elective admissions - CCG'!$D$5:$Q$215,12,0)*$H580</f>
        <v>3825.950659020139</v>
      </c>
      <c r="T580" s="384">
        <f>VLOOKUP($A580,'8.Non-elective admissions - CCG'!$D$5:$Q$215,13,0)*$H580</f>
        <v>4109.0345427449802</v>
      </c>
      <c r="U580" s="384">
        <f>VLOOKUP($A580,'8.Non-elective admissions - CCG'!$D$5:$Q$215,14,0)*$H580</f>
        <v>3936.3053933535516</v>
      </c>
    </row>
    <row r="581" spans="1:21">
      <c r="A581" s="395" t="s">
        <v>482</v>
      </c>
      <c r="B581" s="395" t="s">
        <v>481</v>
      </c>
      <c r="C581" s="395" t="s">
        <v>707</v>
      </c>
      <c r="D581" s="395" t="s">
        <v>234</v>
      </c>
      <c r="E581" s="537">
        <f>COUNTIF($D$5:D581,D581)</f>
        <v>6</v>
      </c>
      <c r="F581" s="537" t="str">
        <f t="shared" ref="F581:F644" si="18">D581&amp;E581</f>
        <v>Hounslow6</v>
      </c>
      <c r="G581" s="541" t="str">
        <f t="shared" ref="G581:G644" si="19">B581</f>
        <v>NHS Richmond CCG</v>
      </c>
      <c r="H581" s="546">
        <v>5.0092249575262503E-2</v>
      </c>
      <c r="I581" s="546">
        <v>3.4545155453199541E-2</v>
      </c>
      <c r="J581" s="384">
        <f>VLOOKUP($A581,'8.Non-elective admissions - CCG'!$D$5:$N$215,3,0)*$H581</f>
        <v>163.10036461705471</v>
      </c>
      <c r="K581" s="384">
        <f>VLOOKUP($A581,'8.Non-elective admissions - CCG'!$D$5:$N$215,4,0)*$H581</f>
        <v>156.88892566972217</v>
      </c>
      <c r="L581" s="384">
        <f>VLOOKUP($A581,'8.Non-elective admissions - CCG'!$D$5:$N$215,5,0)*$H581</f>
        <v>166.90737558477466</v>
      </c>
      <c r="M581" s="384">
        <f>VLOOKUP($A581,'8.Non-elective admissions - CCG'!$D$5:$N$215,6,0)*$H581</f>
        <v>164.55303985473734</v>
      </c>
      <c r="N581" s="384">
        <f>VLOOKUP($A581,'8.Non-elective admissions - CCG'!$D$5:$N$215,7,0)*$H581</f>
        <v>161.84805837767314</v>
      </c>
      <c r="O581" s="384">
        <f>VLOOKUP($A581,'8.Non-elective admissions - CCG'!$D$5:$N$215,8,0)*$H581</f>
        <v>155.58652718076533</v>
      </c>
      <c r="P581" s="384">
        <f>VLOOKUP($A581,'8.Non-elective admissions - CCG'!$D$5:$N$215,9,0)*$H581</f>
        <v>162.74971887002786</v>
      </c>
      <c r="Q581" s="384">
        <f>VLOOKUP($A581,'8.Non-elective admissions - CCG'!$D$5:$N$215,10,0)*$H581</f>
        <v>167.05765233350044</v>
      </c>
      <c r="R581" s="384">
        <f>VLOOKUP($A581,'8.Non-elective admissions - CCG'!$D$5:$Q$215,11,0)*$H581</f>
        <v>160.29519864084</v>
      </c>
      <c r="S581" s="384">
        <f>VLOOKUP($A581,'8.Non-elective admissions - CCG'!$D$5:$Q$215,12,0)*$H581</f>
        <v>153.83329844563116</v>
      </c>
      <c r="T581" s="384">
        <f>VLOOKUP($A581,'8.Non-elective admissions - CCG'!$D$5:$Q$215,13,0)*$H581</f>
        <v>161.09667463404421</v>
      </c>
      <c r="U581" s="384">
        <f>VLOOKUP($A581,'8.Non-elective admissions - CCG'!$D$5:$Q$215,14,0)*$H581</f>
        <v>165.45470034709206</v>
      </c>
    </row>
    <row r="582" spans="1:21">
      <c r="A582" s="395" t="s">
        <v>482</v>
      </c>
      <c r="B582" s="395" t="s">
        <v>481</v>
      </c>
      <c r="C582" s="395" t="s">
        <v>714</v>
      </c>
      <c r="D582" s="395" t="s">
        <v>258</v>
      </c>
      <c r="E582" s="537">
        <f>COUNTIF($D$5:D582,D582)</f>
        <v>3</v>
      </c>
      <c r="F582" s="537" t="str">
        <f t="shared" si="18"/>
        <v>Kingston upon Thames3</v>
      </c>
      <c r="G582" s="541" t="str">
        <f t="shared" si="19"/>
        <v>NHS Richmond CCG</v>
      </c>
      <c r="H582" s="546">
        <v>7.6915213147633384E-3</v>
      </c>
      <c r="I582" s="546">
        <v>8.8970476442532392E-3</v>
      </c>
      <c r="J582" s="384">
        <f>VLOOKUP($A582,'8.Non-elective admissions - CCG'!$D$5:$N$215,3,0)*$H582</f>
        <v>25.04359340086943</v>
      </c>
      <c r="K582" s="384">
        <f>VLOOKUP($A582,'8.Non-elective admissions - CCG'!$D$5:$N$215,4,0)*$H582</f>
        <v>24.089844757838776</v>
      </c>
      <c r="L582" s="384">
        <f>VLOOKUP($A582,'8.Non-elective admissions - CCG'!$D$5:$N$215,5,0)*$H582</f>
        <v>25.628149020791444</v>
      </c>
      <c r="M582" s="384">
        <f>VLOOKUP($A582,'8.Non-elective admissions - CCG'!$D$5:$N$215,6,0)*$H582</f>
        <v>25.266647518997566</v>
      </c>
      <c r="N582" s="384">
        <f>VLOOKUP($A582,'8.Non-elective admissions - CCG'!$D$5:$N$215,7,0)*$H582</f>
        <v>24.851305368000347</v>
      </c>
      <c r="O582" s="384">
        <f>VLOOKUP($A582,'8.Non-elective admissions - CCG'!$D$5:$N$215,8,0)*$H582</f>
        <v>23.889865203654928</v>
      </c>
      <c r="P582" s="384">
        <f>VLOOKUP($A582,'8.Non-elective admissions - CCG'!$D$5:$N$215,9,0)*$H582</f>
        <v>24.989752751666085</v>
      </c>
      <c r="Q582" s="384">
        <f>VLOOKUP($A582,'8.Non-elective admissions - CCG'!$D$5:$N$215,10,0)*$H582</f>
        <v>25.651223584735735</v>
      </c>
      <c r="R582" s="384">
        <f>VLOOKUP($A582,'8.Non-elective admissions - CCG'!$D$5:$Q$215,11,0)*$H582</f>
        <v>24.612868207242684</v>
      </c>
      <c r="S582" s="384">
        <f>VLOOKUP($A582,'8.Non-elective admissions - CCG'!$D$5:$Q$215,12,0)*$H582</f>
        <v>23.620661957638212</v>
      </c>
      <c r="T582" s="384">
        <f>VLOOKUP($A582,'8.Non-elective admissions - CCG'!$D$5:$Q$215,13,0)*$H582</f>
        <v>24.735932548278896</v>
      </c>
      <c r="U582" s="384">
        <f>VLOOKUP($A582,'8.Non-elective admissions - CCG'!$D$5:$Q$215,14,0)*$H582</f>
        <v>25.405094902663308</v>
      </c>
    </row>
    <row r="583" spans="1:21">
      <c r="A583" s="395" t="s">
        <v>482</v>
      </c>
      <c r="B583" s="395" t="s">
        <v>481</v>
      </c>
      <c r="C583" s="395" t="s">
        <v>751</v>
      </c>
      <c r="D583" s="395" t="s">
        <v>369</v>
      </c>
      <c r="E583" s="537">
        <f>COUNTIF($D$5:D583,D583)</f>
        <v>4</v>
      </c>
      <c r="F583" s="537" t="str">
        <f t="shared" si="18"/>
        <v>Richmond upon Thames4</v>
      </c>
      <c r="G583" s="541" t="str">
        <f t="shared" si="19"/>
        <v>NHS Richmond CCG</v>
      </c>
      <c r="H583" s="546">
        <v>0.92534843078361007</v>
      </c>
      <c r="I583" s="546">
        <v>0.90451242666057596</v>
      </c>
      <c r="J583" s="384">
        <f>VLOOKUP($A583,'8.Non-elective admissions - CCG'!$D$5:$N$215,3,0)*$H583</f>
        <v>3012.9344906314345</v>
      </c>
      <c r="K583" s="384">
        <f>VLOOKUP($A583,'8.Non-elective admissions - CCG'!$D$5:$N$215,4,0)*$H583</f>
        <v>2898.1912852142668</v>
      </c>
      <c r="L583" s="384">
        <f>VLOOKUP($A583,'8.Non-elective admissions - CCG'!$D$5:$N$215,5,0)*$H583</f>
        <v>3083.260971370989</v>
      </c>
      <c r="M583" s="384">
        <f>VLOOKUP($A583,'8.Non-elective admissions - CCG'!$D$5:$N$215,6,0)*$H583</f>
        <v>3039.769595124159</v>
      </c>
      <c r="N583" s="384">
        <f>VLOOKUP($A583,'8.Non-elective admissions - CCG'!$D$5:$N$215,7,0)*$H583</f>
        <v>2989.8007798618441</v>
      </c>
      <c r="O583" s="384">
        <f>VLOOKUP($A583,'8.Non-elective admissions - CCG'!$D$5:$N$215,8,0)*$H583</f>
        <v>2874.1322260138927</v>
      </c>
      <c r="P583" s="384">
        <f>VLOOKUP($A583,'8.Non-elective admissions - CCG'!$D$5:$N$215,9,0)*$H583</f>
        <v>3006.4570516159492</v>
      </c>
      <c r="Q583" s="384">
        <f>VLOOKUP($A583,'8.Non-elective admissions - CCG'!$D$5:$N$215,10,0)*$H583</f>
        <v>3086.0370166633397</v>
      </c>
      <c r="R583" s="384">
        <f>VLOOKUP($A583,'8.Non-elective admissions - CCG'!$D$5:$Q$215,11,0)*$H583</f>
        <v>2961.1149785075522</v>
      </c>
      <c r="S583" s="384">
        <f>VLOOKUP($A583,'8.Non-elective admissions - CCG'!$D$5:$Q$215,12,0)*$H583</f>
        <v>2841.7450309364667</v>
      </c>
      <c r="T583" s="384">
        <f>VLOOKUP($A583,'8.Non-elective admissions - CCG'!$D$5:$Q$215,13,0)*$H583</f>
        <v>2975.9205534000898</v>
      </c>
      <c r="U583" s="384">
        <f>VLOOKUP($A583,'8.Non-elective admissions - CCG'!$D$5:$Q$215,14,0)*$H583</f>
        <v>3056.4258668782641</v>
      </c>
    </row>
    <row r="584" spans="1:21">
      <c r="A584" s="395" t="s">
        <v>482</v>
      </c>
      <c r="B584" s="395" t="s">
        <v>481</v>
      </c>
      <c r="C584" s="395" t="s">
        <v>775</v>
      </c>
      <c r="D584" s="395" t="s">
        <v>441</v>
      </c>
      <c r="E584" s="537">
        <f>COUNTIF($D$5:D584,D584)</f>
        <v>15</v>
      </c>
      <c r="F584" s="537" t="str">
        <f t="shared" si="18"/>
        <v>Surrey15</v>
      </c>
      <c r="G584" s="541" t="str">
        <f t="shared" si="19"/>
        <v>NHS Richmond CCG</v>
      </c>
      <c r="H584" s="546">
        <v>4.0112744071930323E-3</v>
      </c>
      <c r="I584" s="546">
        <v>0</v>
      </c>
      <c r="J584" s="384">
        <f>VLOOKUP($A584,'8.Non-elective admissions - CCG'!$D$5:$N$215,3,0)*$H584</f>
        <v>13.060709469820512</v>
      </c>
      <c r="K584" s="384">
        <f>VLOOKUP($A584,'8.Non-elective admissions - CCG'!$D$5:$N$215,4,0)*$H584</f>
        <v>12.563311443328578</v>
      </c>
      <c r="L584" s="384">
        <f>VLOOKUP($A584,'8.Non-elective admissions - CCG'!$D$5:$N$215,5,0)*$H584</f>
        <v>13.365566324767183</v>
      </c>
      <c r="M584" s="384">
        <f>VLOOKUP($A584,'8.Non-elective admissions - CCG'!$D$5:$N$215,6,0)*$H584</f>
        <v>13.177036427629112</v>
      </c>
      <c r="N584" s="384">
        <f>VLOOKUP($A584,'8.Non-elective admissions - CCG'!$D$5:$N$215,7,0)*$H584</f>
        <v>12.960427609640687</v>
      </c>
      <c r="O584" s="384">
        <f>VLOOKUP($A584,'8.Non-elective admissions - CCG'!$D$5:$N$215,8,0)*$H584</f>
        <v>12.459018308741559</v>
      </c>
      <c r="P584" s="384">
        <f>VLOOKUP($A584,'8.Non-elective admissions - CCG'!$D$5:$N$215,9,0)*$H584</f>
        <v>13.032630548970163</v>
      </c>
      <c r="Q584" s="384">
        <f>VLOOKUP($A584,'8.Non-elective admissions - CCG'!$D$5:$N$215,10,0)*$H584</f>
        <v>13.377600147988764</v>
      </c>
      <c r="R584" s="384">
        <f>VLOOKUP($A584,'8.Non-elective admissions - CCG'!$D$5:$Q$215,11,0)*$H584</f>
        <v>12.836078103017703</v>
      </c>
      <c r="S584" s="384">
        <f>VLOOKUP($A584,'8.Non-elective admissions - CCG'!$D$5:$Q$215,12,0)*$H584</f>
        <v>12.318623704489802</v>
      </c>
      <c r="T584" s="384">
        <f>VLOOKUP($A584,'8.Non-elective admissions - CCG'!$D$5:$Q$215,13,0)*$H584</f>
        <v>12.900258493532792</v>
      </c>
      <c r="U584" s="384">
        <f>VLOOKUP($A584,'8.Non-elective admissions - CCG'!$D$5:$Q$215,14,0)*$H584</f>
        <v>13.249239366958586</v>
      </c>
    </row>
    <row r="585" spans="1:21">
      <c r="A585" s="395" t="s">
        <v>482</v>
      </c>
      <c r="B585" s="395" t="s">
        <v>481</v>
      </c>
      <c r="C585" s="395" t="s">
        <v>787</v>
      </c>
      <c r="D585" s="395" t="s">
        <v>477</v>
      </c>
      <c r="E585" s="537">
        <f>COUNTIF($D$5:D585,D585)</f>
        <v>5</v>
      </c>
      <c r="F585" s="537" t="str">
        <f t="shared" si="18"/>
        <v>Wandsworth5</v>
      </c>
      <c r="G585" s="541" t="str">
        <f t="shared" si="19"/>
        <v>NHS Richmond CCG</v>
      </c>
      <c r="H585" s="546">
        <v>1.2856523919170871E-2</v>
      </c>
      <c r="I585" s="546">
        <v>7.5493811279764471E-3</v>
      </c>
      <c r="J585" s="384">
        <f>VLOOKUP($A585,'8.Non-elective admissions - CCG'!$D$5:$N$215,3,0)*$H585</f>
        <v>41.86084188082036</v>
      </c>
      <c r="K585" s="384">
        <f>VLOOKUP($A585,'8.Non-elective admissions - CCG'!$D$5:$N$215,4,0)*$H585</f>
        <v>40.266632914843171</v>
      </c>
      <c r="L585" s="384">
        <f>VLOOKUP($A585,'8.Non-elective admissions - CCG'!$D$5:$N$215,5,0)*$H585</f>
        <v>42.837937698677344</v>
      </c>
      <c r="M585" s="384">
        <f>VLOOKUP($A585,'8.Non-elective admissions - CCG'!$D$5:$N$215,6,0)*$H585</f>
        <v>42.233681074476316</v>
      </c>
      <c r="N585" s="384">
        <f>VLOOKUP($A585,'8.Non-elective admissions - CCG'!$D$5:$N$215,7,0)*$H585</f>
        <v>41.539428782841085</v>
      </c>
      <c r="O585" s="384">
        <f>VLOOKUP($A585,'8.Non-elective admissions - CCG'!$D$5:$N$215,8,0)*$H585</f>
        <v>39.932363292944729</v>
      </c>
      <c r="P585" s="384">
        <f>VLOOKUP($A585,'8.Non-elective admissions - CCG'!$D$5:$N$215,9,0)*$H585</f>
        <v>41.770846213386157</v>
      </c>
      <c r="Q585" s="384">
        <f>VLOOKUP($A585,'8.Non-elective admissions - CCG'!$D$5:$N$215,10,0)*$H585</f>
        <v>42.876507270434857</v>
      </c>
      <c r="R585" s="384">
        <f>VLOOKUP($A585,'8.Non-elective admissions - CCG'!$D$5:$Q$215,11,0)*$H585</f>
        <v>41.140876541346785</v>
      </c>
      <c r="S585" s="384">
        <f>VLOOKUP($A585,'8.Non-elective admissions - CCG'!$D$5:$Q$215,12,0)*$H585</f>
        <v>39.482384955773746</v>
      </c>
      <c r="T585" s="384">
        <f>VLOOKUP($A585,'8.Non-elective admissions - CCG'!$D$5:$Q$215,13,0)*$H585</f>
        <v>41.346580924053519</v>
      </c>
      <c r="U585" s="384">
        <f>VLOOKUP($A585,'8.Non-elective admissions - CCG'!$D$5:$Q$215,14,0)*$H585</f>
        <v>42.465098505021388</v>
      </c>
    </row>
    <row r="586" spans="1:21">
      <c r="A586" s="395" t="s">
        <v>485</v>
      </c>
      <c r="B586" s="395" t="s">
        <v>484</v>
      </c>
      <c r="C586" s="395" t="s">
        <v>652</v>
      </c>
      <c r="D586" s="395" t="s">
        <v>23</v>
      </c>
      <c r="E586" s="537">
        <f>COUNTIF($D$5:D586,D586)</f>
        <v>4</v>
      </c>
      <c r="F586" s="537" t="str">
        <f t="shared" si="18"/>
        <v>Barnsley4</v>
      </c>
      <c r="G586" s="541" t="str">
        <f t="shared" si="19"/>
        <v>NHS Rotherham CCG</v>
      </c>
      <c r="H586" s="546">
        <v>2.9941627383613064E-3</v>
      </c>
      <c r="I586" s="546">
        <v>3.1807688984170223E-3</v>
      </c>
      <c r="J586" s="384">
        <f>VLOOKUP($A586,'8.Non-elective admissions - CCG'!$D$5:$N$215,3,0)*$H586</f>
        <v>20.614810453617594</v>
      </c>
      <c r="K586" s="384">
        <f>VLOOKUP($A586,'8.Non-elective admissions - CCG'!$D$5:$N$215,4,0)*$H586</f>
        <v>20.791466055180912</v>
      </c>
      <c r="L586" s="384">
        <f>VLOOKUP($A586,'8.Non-elective admissions - CCG'!$D$5:$N$215,5,0)*$H586</f>
        <v>22.126862636490053</v>
      </c>
      <c r="M586" s="384">
        <f>VLOOKUP($A586,'8.Non-elective admissions - CCG'!$D$5:$N$215,6,0)*$H586</f>
        <v>21.198672187598049</v>
      </c>
      <c r="N586" s="384">
        <f>VLOOKUP($A586,'8.Non-elective admissions - CCG'!$D$5:$N$215,7,0)*$H586</f>
        <v>20.761524427797298</v>
      </c>
      <c r="O586" s="384">
        <f>VLOOKUP($A586,'8.Non-elective admissions - CCG'!$D$5:$N$215,8,0)*$H586</f>
        <v>20.989080795912759</v>
      </c>
      <c r="P586" s="384">
        <f>VLOOKUP($A586,'8.Non-elective admissions - CCG'!$D$5:$N$215,9,0)*$H586</f>
        <v>20.989080795912759</v>
      </c>
      <c r="Q586" s="384">
        <f>VLOOKUP($A586,'8.Non-elective admissions - CCG'!$D$5:$N$215,10,0)*$H586</f>
        <v>20.53396805968184</v>
      </c>
      <c r="R586" s="384">
        <f>VLOOKUP($A586,'8.Non-elective admissions - CCG'!$D$5:$Q$215,11,0)*$H586</f>
        <v>20.761524427797298</v>
      </c>
      <c r="S586" s="384">
        <f>VLOOKUP($A586,'8.Non-elective admissions - CCG'!$D$5:$Q$215,12,0)*$H586</f>
        <v>20.989080795912759</v>
      </c>
      <c r="T586" s="384">
        <f>VLOOKUP($A586,'8.Non-elective admissions - CCG'!$D$5:$Q$215,13,0)*$H586</f>
        <v>20.989080795912759</v>
      </c>
      <c r="U586" s="384">
        <f>VLOOKUP($A586,'8.Non-elective admissions - CCG'!$D$5:$Q$215,14,0)*$H586</f>
        <v>20.53396805968184</v>
      </c>
    </row>
    <row r="587" spans="1:21">
      <c r="A587" s="395" t="s">
        <v>485</v>
      </c>
      <c r="B587" s="395" t="s">
        <v>484</v>
      </c>
      <c r="C587" s="395" t="s">
        <v>685</v>
      </c>
      <c r="D587" s="395" t="s">
        <v>154</v>
      </c>
      <c r="E587" s="537">
        <f>COUNTIF($D$5:D587,D587)</f>
        <v>4</v>
      </c>
      <c r="F587" s="537" t="str">
        <f t="shared" si="18"/>
        <v>Doncaster4</v>
      </c>
      <c r="G587" s="541" t="str">
        <f t="shared" si="19"/>
        <v>NHS Rotherham CCG</v>
      </c>
      <c r="H587" s="546">
        <v>1.5768740631136972E-2</v>
      </c>
      <c r="I587" s="546">
        <v>1.3217274988149584E-2</v>
      </c>
      <c r="J587" s="384">
        <f>VLOOKUP($A587,'8.Non-elective admissions - CCG'!$D$5:$N$215,3,0)*$H587</f>
        <v>108.56777924537805</v>
      </c>
      <c r="K587" s="384">
        <f>VLOOKUP($A587,'8.Non-elective admissions - CCG'!$D$5:$N$215,4,0)*$H587</f>
        <v>109.49813494261514</v>
      </c>
      <c r="L587" s="384">
        <f>VLOOKUP($A587,'8.Non-elective admissions - CCG'!$D$5:$N$215,5,0)*$H587</f>
        <v>116.53099326410222</v>
      </c>
      <c r="M587" s="384">
        <f>VLOOKUP($A587,'8.Non-elective admissions - CCG'!$D$5:$N$215,6,0)*$H587</f>
        <v>111.64268366844976</v>
      </c>
      <c r="N587" s="384">
        <f>VLOOKUP($A587,'8.Non-elective admissions - CCG'!$D$5:$N$215,7,0)*$H587</f>
        <v>109.34044753630377</v>
      </c>
      <c r="O587" s="384">
        <f>VLOOKUP($A587,'8.Non-elective admissions - CCG'!$D$5:$N$215,8,0)*$H587</f>
        <v>110.53887182427017</v>
      </c>
      <c r="P587" s="384">
        <f>VLOOKUP($A587,'8.Non-elective admissions - CCG'!$D$5:$N$215,9,0)*$H587</f>
        <v>110.53887182427017</v>
      </c>
      <c r="Q587" s="384">
        <f>VLOOKUP($A587,'8.Non-elective admissions - CCG'!$D$5:$N$215,10,0)*$H587</f>
        <v>108.14202324833735</v>
      </c>
      <c r="R587" s="384">
        <f>VLOOKUP($A587,'8.Non-elective admissions - CCG'!$D$5:$Q$215,11,0)*$H587</f>
        <v>109.34044753630377</v>
      </c>
      <c r="S587" s="384">
        <f>VLOOKUP($A587,'8.Non-elective admissions - CCG'!$D$5:$Q$215,12,0)*$H587</f>
        <v>110.53887182427017</v>
      </c>
      <c r="T587" s="384">
        <f>VLOOKUP($A587,'8.Non-elective admissions - CCG'!$D$5:$Q$215,13,0)*$H587</f>
        <v>110.53887182427017</v>
      </c>
      <c r="U587" s="384">
        <f>VLOOKUP($A587,'8.Non-elective admissions - CCG'!$D$5:$Q$215,14,0)*$H587</f>
        <v>108.14202324833735</v>
      </c>
    </row>
    <row r="588" spans="1:21">
      <c r="A588" s="395" t="s">
        <v>485</v>
      </c>
      <c r="B588" s="395" t="s">
        <v>484</v>
      </c>
      <c r="C588" s="395" t="s">
        <v>753</v>
      </c>
      <c r="D588" s="395" t="s">
        <v>375</v>
      </c>
      <c r="E588" s="537">
        <f>COUNTIF($D$5:D588,D588)</f>
        <v>4</v>
      </c>
      <c r="F588" s="537" t="str">
        <f t="shared" si="18"/>
        <v>Rotherham4</v>
      </c>
      <c r="G588" s="541" t="str">
        <f t="shared" si="19"/>
        <v>NHS Rotherham CCG</v>
      </c>
      <c r="H588" s="546">
        <v>0.97859928961261822</v>
      </c>
      <c r="I588" s="546">
        <v>0.93634621727899081</v>
      </c>
      <c r="J588" s="384">
        <f>VLOOKUP($A588,'8.Non-elective admissions - CCG'!$D$5:$N$215,3,0)*$H588</f>
        <v>6737.6561089828765</v>
      </c>
      <c r="K588" s="384">
        <f>VLOOKUP($A588,'8.Non-elective admissions - CCG'!$D$5:$N$215,4,0)*$H588</f>
        <v>6795.393467070021</v>
      </c>
      <c r="L588" s="384">
        <f>VLOOKUP($A588,'8.Non-elective admissions - CCG'!$D$5:$N$215,5,0)*$H588</f>
        <v>7231.8487502372491</v>
      </c>
      <c r="M588" s="384">
        <f>VLOOKUP($A588,'8.Non-elective admissions - CCG'!$D$5:$N$215,6,0)*$H588</f>
        <v>6928.4829704573367</v>
      </c>
      <c r="N588" s="384">
        <f>VLOOKUP($A588,'8.Non-elective admissions - CCG'!$D$5:$N$215,7,0)*$H588</f>
        <v>6785.6074741738948</v>
      </c>
      <c r="O588" s="384">
        <f>VLOOKUP($A588,'8.Non-elective admissions - CCG'!$D$5:$N$215,8,0)*$H588</f>
        <v>6859.9810201844539</v>
      </c>
      <c r="P588" s="384">
        <f>VLOOKUP($A588,'8.Non-elective admissions - CCG'!$D$5:$N$215,9,0)*$H588</f>
        <v>6859.9810201844539</v>
      </c>
      <c r="Q588" s="384">
        <f>VLOOKUP($A588,'8.Non-elective admissions - CCG'!$D$5:$N$215,10,0)*$H588</f>
        <v>6711.2339281633358</v>
      </c>
      <c r="R588" s="384">
        <f>VLOOKUP($A588,'8.Non-elective admissions - CCG'!$D$5:$Q$215,11,0)*$H588</f>
        <v>6785.6074741738948</v>
      </c>
      <c r="S588" s="384">
        <f>VLOOKUP($A588,'8.Non-elective admissions - CCG'!$D$5:$Q$215,12,0)*$H588</f>
        <v>6859.9810201844539</v>
      </c>
      <c r="T588" s="384">
        <f>VLOOKUP($A588,'8.Non-elective admissions - CCG'!$D$5:$Q$215,13,0)*$H588</f>
        <v>6859.9810201844539</v>
      </c>
      <c r="U588" s="384">
        <f>VLOOKUP($A588,'8.Non-elective admissions - CCG'!$D$5:$Q$215,14,0)*$H588</f>
        <v>6711.2339281633358</v>
      </c>
    </row>
    <row r="589" spans="1:21">
      <c r="A589" s="395" t="s">
        <v>485</v>
      </c>
      <c r="B589" s="395" t="s">
        <v>484</v>
      </c>
      <c r="C589" s="395" t="s">
        <v>758</v>
      </c>
      <c r="D589" s="395" t="s">
        <v>390</v>
      </c>
      <c r="E589" s="537">
        <f>COUNTIF($D$5:D589,D589)</f>
        <v>4</v>
      </c>
      <c r="F589" s="537" t="str">
        <f t="shared" si="18"/>
        <v>Sheffield4</v>
      </c>
      <c r="G589" s="541" t="str">
        <f t="shared" si="19"/>
        <v>NHS Rotherham CCG</v>
      </c>
      <c r="H589" s="546">
        <v>2.6378070178836345E-3</v>
      </c>
      <c r="I589" s="546">
        <v>1.1820823395856984E-3</v>
      </c>
      <c r="J589" s="384">
        <f>VLOOKUP($A589,'8.Non-elective admissions - CCG'!$D$5:$N$215,3,0)*$H589</f>
        <v>18.161301318128825</v>
      </c>
      <c r="K589" s="384">
        <f>VLOOKUP($A589,'8.Non-elective admissions - CCG'!$D$5:$N$215,4,0)*$H589</f>
        <v>18.316931932183959</v>
      </c>
      <c r="L589" s="384">
        <f>VLOOKUP($A589,'8.Non-elective admissions - CCG'!$D$5:$N$215,5,0)*$H589</f>
        <v>19.493393862160058</v>
      </c>
      <c r="M589" s="384">
        <f>VLOOKUP($A589,'8.Non-elective admissions - CCG'!$D$5:$N$215,6,0)*$H589</f>
        <v>18.675673686616133</v>
      </c>
      <c r="N589" s="384">
        <f>VLOOKUP($A589,'8.Non-elective admissions - CCG'!$D$5:$N$215,7,0)*$H589</f>
        <v>18.290553862005122</v>
      </c>
      <c r="O589" s="384">
        <f>VLOOKUP($A589,'8.Non-elective admissions - CCG'!$D$5:$N$215,8,0)*$H589</f>
        <v>18.491027195364278</v>
      </c>
      <c r="P589" s="384">
        <f>VLOOKUP($A589,'8.Non-elective admissions - CCG'!$D$5:$N$215,9,0)*$H589</f>
        <v>18.491027195364278</v>
      </c>
      <c r="Q589" s="384">
        <f>VLOOKUP($A589,'8.Non-elective admissions - CCG'!$D$5:$N$215,10,0)*$H589</f>
        <v>18.090080528645966</v>
      </c>
      <c r="R589" s="384">
        <f>VLOOKUP($A589,'8.Non-elective admissions - CCG'!$D$5:$Q$215,11,0)*$H589</f>
        <v>18.290553862005122</v>
      </c>
      <c r="S589" s="384">
        <f>VLOOKUP($A589,'8.Non-elective admissions - CCG'!$D$5:$Q$215,12,0)*$H589</f>
        <v>18.491027195364278</v>
      </c>
      <c r="T589" s="384">
        <f>VLOOKUP($A589,'8.Non-elective admissions - CCG'!$D$5:$Q$215,13,0)*$H589</f>
        <v>18.491027195364278</v>
      </c>
      <c r="U589" s="384">
        <f>VLOOKUP($A589,'8.Non-elective admissions - CCG'!$D$5:$Q$215,14,0)*$H589</f>
        <v>18.090080528645966</v>
      </c>
    </row>
    <row r="590" spans="1:21">
      <c r="A590" s="395" t="s">
        <v>488</v>
      </c>
      <c r="B590" s="395" t="s">
        <v>487</v>
      </c>
      <c r="C590" s="395" t="s">
        <v>721</v>
      </c>
      <c r="D590" s="395" t="s">
        <v>279</v>
      </c>
      <c r="E590" s="537">
        <f>COUNTIF($D$5:D590,D590)</f>
        <v>4</v>
      </c>
      <c r="F590" s="537" t="str">
        <f t="shared" si="18"/>
        <v>Leicestershire4</v>
      </c>
      <c r="G590" s="541" t="str">
        <f t="shared" si="19"/>
        <v>NHS Rushcliffe CCG</v>
      </c>
      <c r="H590" s="546">
        <v>5.43739837398374E-2</v>
      </c>
      <c r="I590" s="546">
        <v>9.8195539502855707E-3</v>
      </c>
      <c r="J590" s="384">
        <f>VLOOKUP($A590,'8.Non-elective admissions - CCG'!$D$5:$N$215,3,0)*$H590</f>
        <v>142.1879674796748</v>
      </c>
      <c r="K590" s="384">
        <f>VLOOKUP($A590,'8.Non-elective admissions - CCG'!$D$5:$N$215,4,0)*$H590</f>
        <v>142.67733333333334</v>
      </c>
      <c r="L590" s="384">
        <f>VLOOKUP($A590,'8.Non-elective admissions - CCG'!$D$5:$N$215,5,0)*$H590</f>
        <v>135.98933333333335</v>
      </c>
      <c r="M590" s="384">
        <f>VLOOKUP($A590,'8.Non-elective admissions - CCG'!$D$5:$N$215,6,0)*$H590</f>
        <v>118.75278048780488</v>
      </c>
      <c r="N590" s="384">
        <f>VLOOKUP($A590,'8.Non-elective admissions - CCG'!$D$5:$N$215,7,0)*$H590</f>
        <v>128.92071544715446</v>
      </c>
      <c r="O590" s="384">
        <f>VLOOKUP($A590,'8.Non-elective admissions - CCG'!$D$5:$N$215,8,0)*$H590</f>
        <v>140.01300813008132</v>
      </c>
      <c r="P590" s="384">
        <f>VLOOKUP($A590,'8.Non-elective admissions - CCG'!$D$5:$N$215,9,0)*$H590</f>
        <v>133.48813008130082</v>
      </c>
      <c r="Q590" s="384">
        <f>VLOOKUP($A590,'8.Non-elective admissions - CCG'!$D$5:$N$215,10,0)*$H590</f>
        <v>114.83785365853659</v>
      </c>
      <c r="R590" s="384">
        <f>VLOOKUP($A590,'8.Non-elective admissions - CCG'!$D$5:$Q$215,11,0)*$H590</f>
        <v>127.01762601626017</v>
      </c>
      <c r="S590" s="384">
        <f>VLOOKUP($A590,'8.Non-elective admissions - CCG'!$D$5:$Q$215,12,0)*$H590</f>
        <v>137.13118699186992</v>
      </c>
      <c r="T590" s="384">
        <f>VLOOKUP($A590,'8.Non-elective admissions - CCG'!$D$5:$Q$215,13,0)*$H590</f>
        <v>130.66068292682928</v>
      </c>
      <c r="U590" s="384">
        <f>VLOOKUP($A590,'8.Non-elective admissions - CCG'!$D$5:$Q$215,14,0)*$H590</f>
        <v>111.68416260162601</v>
      </c>
    </row>
    <row r="591" spans="1:21">
      <c r="A591" s="395" t="s">
        <v>488</v>
      </c>
      <c r="B591" s="395" t="s">
        <v>487</v>
      </c>
      <c r="C591" s="395" t="s">
        <v>741</v>
      </c>
      <c r="D591" s="395" t="s">
        <v>339</v>
      </c>
      <c r="E591" s="537">
        <f>COUNTIF($D$5:D591,D591)</f>
        <v>4</v>
      </c>
      <c r="F591" s="537" t="str">
        <f t="shared" si="18"/>
        <v>Nottingham4</v>
      </c>
      <c r="G591" s="541" t="str">
        <f t="shared" si="19"/>
        <v>NHS Rushcliffe CCG</v>
      </c>
      <c r="H591" s="546">
        <v>3.8292682926829268E-2</v>
      </c>
      <c r="I591" s="546">
        <v>1.4082906759795245E-2</v>
      </c>
      <c r="J591" s="384">
        <f>VLOOKUP($A591,'8.Non-elective admissions - CCG'!$D$5:$N$215,3,0)*$H591</f>
        <v>100.13536585365854</v>
      </c>
      <c r="K591" s="384">
        <f>VLOOKUP($A591,'8.Non-elective admissions - CCG'!$D$5:$N$215,4,0)*$H591</f>
        <v>100.48</v>
      </c>
      <c r="L591" s="384">
        <f>VLOOKUP($A591,'8.Non-elective admissions - CCG'!$D$5:$N$215,5,0)*$H591</f>
        <v>95.77</v>
      </c>
      <c r="M591" s="384">
        <f>VLOOKUP($A591,'8.Non-elective admissions - CCG'!$D$5:$N$215,6,0)*$H591</f>
        <v>83.631219512195116</v>
      </c>
      <c r="N591" s="384">
        <f>VLOOKUP($A591,'8.Non-elective admissions - CCG'!$D$5:$N$215,7,0)*$H591</f>
        <v>90.7919512195122</v>
      </c>
      <c r="O591" s="384">
        <f>VLOOKUP($A591,'8.Non-elective admissions - CCG'!$D$5:$N$215,8,0)*$H591</f>
        <v>98.603658536585371</v>
      </c>
      <c r="P591" s="384">
        <f>VLOOKUP($A591,'8.Non-elective admissions - CCG'!$D$5:$N$215,9,0)*$H591</f>
        <v>94.008536585365846</v>
      </c>
      <c r="Q591" s="384">
        <f>VLOOKUP($A591,'8.Non-elective admissions - CCG'!$D$5:$N$215,10,0)*$H591</f>
        <v>80.874146341463415</v>
      </c>
      <c r="R591" s="384">
        <f>VLOOKUP($A591,'8.Non-elective admissions - CCG'!$D$5:$Q$215,11,0)*$H591</f>
        <v>89.451707317073172</v>
      </c>
      <c r="S591" s="384">
        <f>VLOOKUP($A591,'8.Non-elective admissions - CCG'!$D$5:$Q$215,12,0)*$H591</f>
        <v>96.574146341463418</v>
      </c>
      <c r="T591" s="384">
        <f>VLOOKUP($A591,'8.Non-elective admissions - CCG'!$D$5:$Q$215,13,0)*$H591</f>
        <v>92.01731707317073</v>
      </c>
      <c r="U591" s="384">
        <f>VLOOKUP($A591,'8.Non-elective admissions - CCG'!$D$5:$Q$215,14,0)*$H591</f>
        <v>78.65317073170732</v>
      </c>
    </row>
    <row r="592" spans="1:21">
      <c r="A592" s="395" t="s">
        <v>488</v>
      </c>
      <c r="B592" s="395" t="s">
        <v>487</v>
      </c>
      <c r="C592" s="395" t="s">
        <v>742</v>
      </c>
      <c r="D592" s="395" t="s">
        <v>342</v>
      </c>
      <c r="E592" s="537">
        <f>COUNTIF($D$5:D592,D592)</f>
        <v>12</v>
      </c>
      <c r="F592" s="537" t="str">
        <f t="shared" si="18"/>
        <v>Nottinghamshire12</v>
      </c>
      <c r="G592" s="541" t="str">
        <f t="shared" si="19"/>
        <v>NHS Rushcliffe CCG</v>
      </c>
      <c r="H592" s="546">
        <v>0.90733333333333333</v>
      </c>
      <c r="I592" s="546">
        <v>0.13634758726516807</v>
      </c>
      <c r="J592" s="384">
        <f>VLOOKUP($A592,'8.Non-elective admissions - CCG'!$D$5:$N$215,3,0)*$H592</f>
        <v>2372.6766666666667</v>
      </c>
      <c r="K592" s="384">
        <f>VLOOKUP($A592,'8.Non-elective admissions - CCG'!$D$5:$N$215,4,0)*$H592</f>
        <v>2380.8426666666664</v>
      </c>
      <c r="L592" s="384">
        <f>VLOOKUP($A592,'8.Non-elective admissions - CCG'!$D$5:$N$215,5,0)*$H592</f>
        <v>2269.2406666666666</v>
      </c>
      <c r="M592" s="384">
        <f>VLOOKUP($A592,'8.Non-elective admissions - CCG'!$D$5:$N$215,6,0)*$H592</f>
        <v>1981.616</v>
      </c>
      <c r="N592" s="384">
        <f>VLOOKUP($A592,'8.Non-elective admissions - CCG'!$D$5:$N$215,7,0)*$H592</f>
        <v>2151.2873333333332</v>
      </c>
      <c r="O592" s="384">
        <f>VLOOKUP($A592,'8.Non-elective admissions - CCG'!$D$5:$N$215,8,0)*$H592</f>
        <v>2336.3833333333332</v>
      </c>
      <c r="P592" s="384">
        <f>VLOOKUP($A592,'8.Non-elective admissions - CCG'!$D$5:$N$215,9,0)*$H592</f>
        <v>2227.5033333333331</v>
      </c>
      <c r="Q592" s="384">
        <f>VLOOKUP($A592,'8.Non-elective admissions - CCG'!$D$5:$N$215,10,0)*$H592</f>
        <v>1916.288</v>
      </c>
      <c r="R592" s="384">
        <f>VLOOKUP($A592,'8.Non-elective admissions - CCG'!$D$5:$Q$215,11,0)*$H592</f>
        <v>2119.5306666666665</v>
      </c>
      <c r="S592" s="384">
        <f>VLOOKUP($A592,'8.Non-elective admissions - CCG'!$D$5:$Q$215,12,0)*$H592</f>
        <v>2288.2946666666667</v>
      </c>
      <c r="T592" s="384">
        <f>VLOOKUP($A592,'8.Non-elective admissions - CCG'!$D$5:$Q$215,13,0)*$H592</f>
        <v>2180.3220000000001</v>
      </c>
      <c r="U592" s="384">
        <f>VLOOKUP($A592,'8.Non-elective admissions - CCG'!$D$5:$Q$215,14,0)*$H592</f>
        <v>1863.6626666666666</v>
      </c>
    </row>
    <row r="593" spans="1:21">
      <c r="A593" s="395" t="s">
        <v>491</v>
      </c>
      <c r="B593" s="395" t="s">
        <v>490</v>
      </c>
      <c r="C593" s="395" t="s">
        <v>659</v>
      </c>
      <c r="D593" s="395" t="s">
        <v>56</v>
      </c>
      <c r="E593" s="537">
        <f>COUNTIF($D$5:D593,D593)</f>
        <v>4</v>
      </c>
      <c r="F593" s="537" t="str">
        <f t="shared" si="18"/>
        <v>Bolton4</v>
      </c>
      <c r="G593" s="541" t="str">
        <f t="shared" si="19"/>
        <v>NHS Salford CCG</v>
      </c>
      <c r="H593" s="546">
        <v>5.9883533600006301E-3</v>
      </c>
      <c r="I593" s="546">
        <v>5.1185254347723879E-3</v>
      </c>
      <c r="J593" s="384">
        <f>VLOOKUP($A593,'8.Non-elective admissions - CCG'!$D$5:$N$215,3,0)*$H593</f>
        <v>48.403860208885092</v>
      </c>
      <c r="K593" s="384">
        <f>VLOOKUP($A593,'8.Non-elective admissions - CCG'!$D$5:$N$215,4,0)*$H593</f>
        <v>47.799036519525032</v>
      </c>
      <c r="L593" s="384">
        <f>VLOOKUP($A593,'8.Non-elective admissions - CCG'!$D$5:$N$215,5,0)*$H593</f>
        <v>51.661524436725436</v>
      </c>
      <c r="M593" s="384">
        <f>VLOOKUP($A593,'8.Non-elective admissions - CCG'!$D$5:$N$215,6,0)*$H593</f>
        <v>50.29617987064529</v>
      </c>
      <c r="N593" s="384">
        <f>VLOOKUP($A593,'8.Non-elective admissions - CCG'!$D$5:$N$215,7,0)*$H593</f>
        <v>41.275492391287109</v>
      </c>
      <c r="O593" s="384">
        <f>VLOOKUP($A593,'8.Non-elective admissions - CCG'!$D$5:$N$215,8,0)*$H593</f>
        <v>42.469534823716671</v>
      </c>
      <c r="P593" s="384">
        <f>VLOOKUP($A593,'8.Non-elective admissions - CCG'!$D$5:$N$215,9,0)*$H593</f>
        <v>44.390661462596768</v>
      </c>
      <c r="Q593" s="384">
        <f>VLOOKUP($A593,'8.Non-elective admissions - CCG'!$D$5:$N$215,10,0)*$H593</f>
        <v>45.379490037998387</v>
      </c>
      <c r="R593" s="384">
        <f>VLOOKUP($A593,'8.Non-elective admissions - CCG'!$D$5:$Q$215,11,0)*$H593</f>
        <v>41.059230604964782</v>
      </c>
      <c r="S593" s="384">
        <f>VLOOKUP($A593,'8.Non-elective admissions - CCG'!$D$5:$Q$215,12,0)*$H593</f>
        <v>41.902088710497686</v>
      </c>
      <c r="T593" s="384">
        <f>VLOOKUP($A593,'8.Non-elective admissions - CCG'!$D$5:$Q$215,13,0)*$H593</f>
        <v>43.914627454831376</v>
      </c>
      <c r="U593" s="384">
        <f>VLOOKUP($A593,'8.Non-elective admissions - CCG'!$D$5:$Q$215,14,0)*$H593</f>
        <v>45.135911649730474</v>
      </c>
    </row>
    <row r="594" spans="1:21">
      <c r="A594" s="395" t="s">
        <v>491</v>
      </c>
      <c r="B594" s="395" t="s">
        <v>490</v>
      </c>
      <c r="C594" s="395" t="s">
        <v>668</v>
      </c>
      <c r="D594" s="395" t="s">
        <v>90</v>
      </c>
      <c r="E594" s="537">
        <f>COUNTIF($D$5:D594,D594)</f>
        <v>6</v>
      </c>
      <c r="F594" s="537" t="str">
        <f t="shared" si="18"/>
        <v>Bury6</v>
      </c>
      <c r="G594" s="541" t="str">
        <f t="shared" si="19"/>
        <v>NHS Salford CCG</v>
      </c>
      <c r="H594" s="546">
        <v>1.4365761078846654E-2</v>
      </c>
      <c r="I594" s="546">
        <v>1.8488550853628934E-2</v>
      </c>
      <c r="J594" s="384">
        <f>VLOOKUP($A594,'8.Non-elective admissions - CCG'!$D$5:$N$215,3,0)*$H594</f>
        <v>116.11844680031751</v>
      </c>
      <c r="K594" s="384">
        <f>VLOOKUP($A594,'8.Non-elective admissions - CCG'!$D$5:$N$215,4,0)*$H594</f>
        <v>114.66750493135399</v>
      </c>
      <c r="L594" s="384">
        <f>VLOOKUP($A594,'8.Non-elective admissions - CCG'!$D$5:$N$215,5,0)*$H594</f>
        <v>123.93342082721009</v>
      </c>
      <c r="M594" s="384">
        <f>VLOOKUP($A594,'8.Non-elective admissions - CCG'!$D$5:$N$215,6,0)*$H594</f>
        <v>120.65802730123305</v>
      </c>
      <c r="N594" s="384">
        <f>VLOOKUP($A594,'8.Non-elective admissions - CCG'!$D$5:$N$215,7,0)*$H594</f>
        <v>99.017847888809499</v>
      </c>
      <c r="O594" s="384">
        <f>VLOOKUP($A594,'8.Non-elective admissions - CCG'!$D$5:$N$215,8,0)*$H594</f>
        <v>101.88229613878487</v>
      </c>
      <c r="P594" s="384">
        <f>VLOOKUP($A594,'8.Non-elective admissions - CCG'!$D$5:$N$215,9,0)*$H594</f>
        <v>106.49098314124262</v>
      </c>
      <c r="Q594" s="384">
        <f>VLOOKUP($A594,'8.Non-elective admissions - CCG'!$D$5:$N$215,10,0)*$H594</f>
        <v>108.86313358196988</v>
      </c>
      <c r="R594" s="384">
        <f>VLOOKUP($A594,'8.Non-elective admissions - CCG'!$D$5:$Q$215,11,0)*$H594</f>
        <v>98.499046648130729</v>
      </c>
      <c r="S594" s="384">
        <f>VLOOKUP($A594,'8.Non-elective admissions - CCG'!$D$5:$Q$215,12,0)*$H594</f>
        <v>100.52102121101018</v>
      </c>
      <c r="T594" s="384">
        <f>VLOOKUP($A594,'8.Non-elective admissions - CCG'!$D$5:$Q$215,13,0)*$H594</f>
        <v>105.34900129584219</v>
      </c>
      <c r="U594" s="384">
        <f>VLOOKUP($A594,'8.Non-elective admissions - CCG'!$D$5:$Q$215,14,0)*$H594</f>
        <v>108.27880117546889</v>
      </c>
    </row>
    <row r="595" spans="1:21">
      <c r="A595" s="395" t="s">
        <v>491</v>
      </c>
      <c r="B595" s="395" t="s">
        <v>490</v>
      </c>
      <c r="C595" s="395" t="s">
        <v>726</v>
      </c>
      <c r="D595" s="395" t="s">
        <v>294</v>
      </c>
      <c r="E595" s="537">
        <f>COUNTIF($D$5:D595,D595)</f>
        <v>6</v>
      </c>
      <c r="F595" s="537" t="str">
        <f t="shared" si="18"/>
        <v>Manchester6</v>
      </c>
      <c r="G595" s="541" t="str">
        <f t="shared" si="19"/>
        <v>NHS Salford CCG</v>
      </c>
      <c r="H595" s="546">
        <v>2.4365996840789963E-2</v>
      </c>
      <c r="I595" s="546">
        <v>1.1206025701031689E-2</v>
      </c>
      <c r="J595" s="384">
        <f>VLOOKUP($A595,'8.Non-elective admissions - CCG'!$D$5:$N$215,3,0)*$H595</f>
        <v>196.95035246410526</v>
      </c>
      <c r="K595" s="384">
        <f>VLOOKUP($A595,'8.Non-elective admissions - CCG'!$D$5:$N$215,4,0)*$H595</f>
        <v>194.48938678318549</v>
      </c>
      <c r="L595" s="384">
        <f>VLOOKUP($A595,'8.Non-elective admissions - CCG'!$D$5:$N$215,5,0)*$H595</f>
        <v>210.20545474549502</v>
      </c>
      <c r="M595" s="384">
        <f>VLOOKUP($A595,'8.Non-elective admissions - CCG'!$D$5:$N$215,6,0)*$H595</f>
        <v>204.65000746579489</v>
      </c>
      <c r="N595" s="384">
        <f>VLOOKUP($A595,'8.Non-elective admissions - CCG'!$D$5:$N$215,7,0)*$H595</f>
        <v>167.94575348974499</v>
      </c>
      <c r="O595" s="384">
        <f>VLOOKUP($A595,'8.Non-elective admissions - CCG'!$D$5:$N$215,8,0)*$H595</f>
        <v>172.80418992248494</v>
      </c>
      <c r="P595" s="384">
        <f>VLOOKUP($A595,'8.Non-elective admissions - CCG'!$D$5:$N$215,9,0)*$H595</f>
        <v>180.62105756532975</v>
      </c>
      <c r="Q595" s="384">
        <f>VLOOKUP($A595,'8.Non-elective admissions - CCG'!$D$5:$N$215,10,0)*$H595</f>
        <v>184.64449981996586</v>
      </c>
      <c r="R595" s="384">
        <f>VLOOKUP($A595,'8.Non-elective admissions - CCG'!$D$5:$Q$215,11,0)*$H595</f>
        <v>167.06580641823268</v>
      </c>
      <c r="S595" s="384">
        <f>VLOOKUP($A595,'8.Non-elective admissions - CCG'!$D$5:$Q$215,12,0)*$H595</f>
        <v>170.49530977283212</v>
      </c>
      <c r="T595" s="384">
        <f>VLOOKUP($A595,'8.Non-elective admissions - CCG'!$D$5:$Q$215,13,0)*$H595</f>
        <v>178.68412391562293</v>
      </c>
      <c r="U595" s="384">
        <f>VLOOKUP($A595,'8.Non-elective admissions - CCG'!$D$5:$Q$215,14,0)*$H595</f>
        <v>183.65340429132456</v>
      </c>
    </row>
    <row r="596" spans="1:21">
      <c r="A596" s="395" t="s">
        <v>491</v>
      </c>
      <c r="B596" s="395" t="s">
        <v>490</v>
      </c>
      <c r="C596" s="395" t="s">
        <v>755</v>
      </c>
      <c r="D596" s="395" t="s">
        <v>381</v>
      </c>
      <c r="E596" s="537">
        <f>COUNTIF($D$5:D596,D596)</f>
        <v>5</v>
      </c>
      <c r="F596" s="537" t="str">
        <f t="shared" si="18"/>
        <v>Salford5</v>
      </c>
      <c r="G596" s="541" t="str">
        <f t="shared" si="19"/>
        <v>NHS Salford CCG</v>
      </c>
      <c r="H596" s="546">
        <v>0.93877655268886506</v>
      </c>
      <c r="I596" s="546">
        <v>0.95211015024110313</v>
      </c>
      <c r="J596" s="384">
        <f>VLOOKUP($A596,'8.Non-elective admissions - CCG'!$D$5:$N$215,3,0)*$H596</f>
        <v>7588.1308753840967</v>
      </c>
      <c r="K596" s="384">
        <f>VLOOKUP($A596,'8.Non-elective admissions - CCG'!$D$5:$N$215,4,0)*$H596</f>
        <v>7493.3144435625209</v>
      </c>
      <c r="L596" s="384">
        <f>VLOOKUP($A596,'8.Non-elective admissions - CCG'!$D$5:$N$215,5,0)*$H596</f>
        <v>8098.8253200468389</v>
      </c>
      <c r="M596" s="384">
        <f>VLOOKUP($A596,'8.Non-elective admissions - CCG'!$D$5:$N$215,6,0)*$H596</f>
        <v>7884.7842660337774</v>
      </c>
      <c r="N596" s="384">
        <f>VLOOKUP($A596,'8.Non-elective admissions - CCG'!$D$5:$N$215,7,0)*$H596</f>
        <v>6470.6376074012969</v>
      </c>
      <c r="O596" s="384">
        <f>VLOOKUP($A596,'8.Non-elective admissions - CCG'!$D$5:$N$215,8,0)*$H596</f>
        <v>6657.8241294872832</v>
      </c>
      <c r="P596" s="384">
        <f>VLOOKUP($A596,'8.Non-elective admissions - CCG'!$D$5:$N$215,9,0)*$H596</f>
        <v>6958.9935052581232</v>
      </c>
      <c r="Q596" s="384">
        <f>VLOOKUP($A596,'8.Non-elective admissions - CCG'!$D$5:$N$215,10,0)*$H596</f>
        <v>7114.0092542311731</v>
      </c>
      <c r="R596" s="384">
        <f>VLOOKUP($A596,'8.Non-elective admissions - CCG'!$D$5:$Q$215,11,0)*$H596</f>
        <v>6436.7348828897311</v>
      </c>
      <c r="S596" s="384">
        <f>VLOOKUP($A596,'8.Non-elective admissions - CCG'!$D$5:$Q$215,12,0)*$H596</f>
        <v>6568.867270401006</v>
      </c>
      <c r="T596" s="384">
        <f>VLOOKUP($A596,'8.Non-elective admissions - CCG'!$D$5:$Q$215,13,0)*$H596</f>
        <v>6884.3670532258056</v>
      </c>
      <c r="U596" s="384">
        <f>VLOOKUP($A596,'8.Non-elective admissions - CCG'!$D$5:$Q$215,14,0)*$H596</f>
        <v>7075.8241863333697</v>
      </c>
    </row>
    <row r="597" spans="1:21">
      <c r="A597" s="395" t="s">
        <v>491</v>
      </c>
      <c r="B597" s="395" t="s">
        <v>490</v>
      </c>
      <c r="C597" s="395" t="s">
        <v>783</v>
      </c>
      <c r="D597" s="395" t="s">
        <v>465</v>
      </c>
      <c r="E597" s="537">
        <f>COUNTIF($D$5:D597,D597)</f>
        <v>2</v>
      </c>
      <c r="F597" s="537" t="str">
        <f t="shared" si="18"/>
        <v>Trafford2</v>
      </c>
      <c r="G597" s="541" t="str">
        <f t="shared" si="19"/>
        <v>NHS Salford CCG</v>
      </c>
      <c r="H597" s="546">
        <v>0</v>
      </c>
      <c r="I597" s="546">
        <v>9.3450215018193832E-4</v>
      </c>
      <c r="J597" s="384">
        <f>VLOOKUP($A597,'8.Non-elective admissions - CCG'!$D$5:$N$215,3,0)*$H597</f>
        <v>0</v>
      </c>
      <c r="K597" s="384">
        <f>VLOOKUP($A597,'8.Non-elective admissions - CCG'!$D$5:$N$215,4,0)*$H597</f>
        <v>0</v>
      </c>
      <c r="L597" s="384">
        <f>VLOOKUP($A597,'8.Non-elective admissions - CCG'!$D$5:$N$215,5,0)*$H597</f>
        <v>0</v>
      </c>
      <c r="M597" s="384">
        <f>VLOOKUP($A597,'8.Non-elective admissions - CCG'!$D$5:$N$215,6,0)*$H597</f>
        <v>0</v>
      </c>
      <c r="N597" s="384">
        <f>VLOOKUP($A597,'8.Non-elective admissions - CCG'!$D$5:$N$215,7,0)*$H597</f>
        <v>0</v>
      </c>
      <c r="O597" s="384">
        <f>VLOOKUP($A597,'8.Non-elective admissions - CCG'!$D$5:$N$215,8,0)*$H597</f>
        <v>0</v>
      </c>
      <c r="P597" s="384">
        <f>VLOOKUP($A597,'8.Non-elective admissions - CCG'!$D$5:$N$215,9,0)*$H597</f>
        <v>0</v>
      </c>
      <c r="Q597" s="384">
        <f>VLOOKUP($A597,'8.Non-elective admissions - CCG'!$D$5:$N$215,10,0)*$H597</f>
        <v>0</v>
      </c>
      <c r="R597" s="384">
        <f>VLOOKUP($A597,'8.Non-elective admissions - CCG'!$D$5:$Q$215,11,0)*$H597</f>
        <v>0</v>
      </c>
      <c r="S597" s="384">
        <f>VLOOKUP($A597,'8.Non-elective admissions - CCG'!$D$5:$Q$215,12,0)*$H597</f>
        <v>0</v>
      </c>
      <c r="T597" s="384">
        <f>VLOOKUP($A597,'8.Non-elective admissions - CCG'!$D$5:$Q$215,13,0)*$H597</f>
        <v>0</v>
      </c>
      <c r="U597" s="384">
        <f>VLOOKUP($A597,'8.Non-elective admissions - CCG'!$D$5:$Q$215,14,0)*$H597</f>
        <v>0</v>
      </c>
    </row>
    <row r="598" spans="1:21">
      <c r="A598" s="395" t="s">
        <v>491</v>
      </c>
      <c r="B598" s="395" t="s">
        <v>490</v>
      </c>
      <c r="C598" s="395" t="s">
        <v>788</v>
      </c>
      <c r="D598" s="395" t="s">
        <v>480</v>
      </c>
      <c r="E598" s="537">
        <f>COUNTIF($D$5:D598,D598)</f>
        <v>2</v>
      </c>
      <c r="F598" s="537" t="str">
        <f t="shared" si="18"/>
        <v>Warrington2</v>
      </c>
      <c r="G598" s="541" t="str">
        <f t="shared" si="19"/>
        <v>NHS Salford CCG</v>
      </c>
      <c r="H598" s="546">
        <v>4.9588595408929098E-3</v>
      </c>
      <c r="I598" s="546">
        <v>5.8988501449004395E-3</v>
      </c>
      <c r="J598" s="384">
        <f>VLOOKUP($A598,'8.Non-elective admissions - CCG'!$D$5:$N$215,3,0)*$H598</f>
        <v>40.082461669037393</v>
      </c>
      <c r="K598" s="384">
        <f>VLOOKUP($A598,'8.Non-elective admissions - CCG'!$D$5:$N$215,4,0)*$H598</f>
        <v>39.581616855407205</v>
      </c>
      <c r="L598" s="384">
        <f>VLOOKUP($A598,'8.Non-elective admissions - CCG'!$D$5:$N$215,5,0)*$H598</f>
        <v>42.780081259283136</v>
      </c>
      <c r="M598" s="384">
        <f>VLOOKUP($A598,'8.Non-elective admissions - CCG'!$D$5:$N$215,6,0)*$H598</f>
        <v>41.649461283959546</v>
      </c>
      <c r="N598" s="384">
        <f>VLOOKUP($A598,'8.Non-elective admissions - CCG'!$D$5:$N$215,7,0)*$H598</f>
        <v>34.179574408008094</v>
      </c>
      <c r="O598" s="384">
        <f>VLOOKUP($A598,'8.Non-elective admissions - CCG'!$D$5:$N$215,8,0)*$H598</f>
        <v>35.168341829088213</v>
      </c>
      <c r="P598" s="384">
        <f>VLOOKUP($A598,'8.Non-elective admissions - CCG'!$D$5:$N$215,9,0)*$H598</f>
        <v>36.759196040549291</v>
      </c>
      <c r="Q598" s="384">
        <f>VLOOKUP($A598,'8.Non-elective admissions - CCG'!$D$5:$N$215,10,0)*$H598</f>
        <v>37.578029152200763</v>
      </c>
      <c r="R598" s="384">
        <f>VLOOKUP($A598,'8.Non-elective admissions - CCG'!$D$5:$Q$215,11,0)*$H598</f>
        <v>34.000491485213615</v>
      </c>
      <c r="S598" s="384">
        <f>VLOOKUP($A598,'8.Non-elective admissions - CCG'!$D$5:$Q$215,12,0)*$H598</f>
        <v>34.69844878782682</v>
      </c>
      <c r="T598" s="384">
        <f>VLOOKUP($A598,'8.Non-elective admissions - CCG'!$D$5:$Q$215,13,0)*$H598</f>
        <v>36.364999900260628</v>
      </c>
      <c r="U598" s="384">
        <f>VLOOKUP($A598,'8.Non-elective admissions - CCG'!$D$5:$Q$215,14,0)*$H598</f>
        <v>37.376325788687566</v>
      </c>
    </row>
    <row r="599" spans="1:21">
      <c r="A599" s="395" t="s">
        <v>491</v>
      </c>
      <c r="B599" s="395" t="s">
        <v>490</v>
      </c>
      <c r="C599" s="395" t="s">
        <v>793</v>
      </c>
      <c r="D599" s="395" t="s">
        <v>495</v>
      </c>
      <c r="E599" s="537">
        <f>COUNTIF($D$5:D599,D599)</f>
        <v>2</v>
      </c>
      <c r="F599" s="537" t="str">
        <f t="shared" si="18"/>
        <v>Wigan2</v>
      </c>
      <c r="G599" s="541" t="str">
        <f t="shared" si="19"/>
        <v>NHS Salford CCG</v>
      </c>
      <c r="H599" s="546">
        <v>1.1544476490604888E-2</v>
      </c>
      <c r="I599" s="546">
        <v>9.0318574331448888E-3</v>
      </c>
      <c r="J599" s="384">
        <f>VLOOKUP($A599,'8.Non-elective admissions - CCG'!$D$5:$N$215,3,0)*$H599</f>
        <v>93.31400347355931</v>
      </c>
      <c r="K599" s="384">
        <f>VLOOKUP($A599,'8.Non-elective admissions - CCG'!$D$5:$N$215,4,0)*$H599</f>
        <v>92.148011348008211</v>
      </c>
      <c r="L599" s="384">
        <f>VLOOKUP($A599,'8.Non-elective admissions - CCG'!$D$5:$N$215,5,0)*$H599</f>
        <v>99.594198684448372</v>
      </c>
      <c r="M599" s="384">
        <f>VLOOKUP($A599,'8.Non-elective admissions - CCG'!$D$5:$N$215,6,0)*$H599</f>
        <v>96.962058044590449</v>
      </c>
      <c r="N599" s="384">
        <f>VLOOKUP($A599,'8.Non-elective admissions - CCG'!$D$5:$N$215,7,0)*$H599</f>
        <v>79.571782575854016</v>
      </c>
      <c r="O599" s="384">
        <f>VLOOKUP($A599,'8.Non-elective admissions - CCG'!$D$5:$N$215,8,0)*$H599</f>
        <v>81.873683275642762</v>
      </c>
      <c r="P599" s="384">
        <f>VLOOKUP($A599,'8.Non-elective admissions - CCG'!$D$5:$N$215,9,0)*$H599</f>
        <v>85.577272557158324</v>
      </c>
      <c r="Q599" s="384">
        <f>VLOOKUP($A599,'8.Non-elective admissions - CCG'!$D$5:$N$215,10,0)*$H599</f>
        <v>87.483557566692426</v>
      </c>
      <c r="R599" s="384">
        <f>VLOOKUP($A599,'8.Non-elective admissions - CCG'!$D$5:$Q$215,11,0)*$H599</f>
        <v>79.154868449728681</v>
      </c>
      <c r="S599" s="384">
        <f>VLOOKUP($A599,'8.Non-elective admissions - CCG'!$D$5:$Q$215,12,0)*$H599</f>
        <v>80.779748445828204</v>
      </c>
      <c r="T599" s="384">
        <f>VLOOKUP($A599,'8.Non-elective admissions - CCG'!$D$5:$Q$215,13,0)*$H599</f>
        <v>84.659563951636855</v>
      </c>
      <c r="U599" s="384">
        <f>VLOOKUP($A599,'8.Non-elective admissions - CCG'!$D$5:$Q$215,14,0)*$H599</f>
        <v>87.013981907420018</v>
      </c>
    </row>
    <row r="600" spans="1:21">
      <c r="A600" s="395" t="s">
        <v>494</v>
      </c>
      <c r="B600" s="395" t="s">
        <v>493</v>
      </c>
      <c r="C600" s="395" t="s">
        <v>656</v>
      </c>
      <c r="D600" s="395" t="s">
        <v>45</v>
      </c>
      <c r="E600" s="537">
        <f>COUNTIF($D$5:D600,D600)</f>
        <v>5</v>
      </c>
      <c r="F600" s="537" t="str">
        <f t="shared" si="18"/>
        <v>Birmingham5</v>
      </c>
      <c r="G600" s="541" t="str">
        <f t="shared" si="19"/>
        <v>NHS Sandwell and West Birmingham CCG</v>
      </c>
      <c r="H600" s="546">
        <v>0.39898720487544659</v>
      </c>
      <c r="I600" s="546">
        <v>0.1836673596114127</v>
      </c>
      <c r="J600" s="384">
        <f>VLOOKUP($A600,'8.Non-elective admissions - CCG'!$D$5:$N$215,3,0)*$H600</f>
        <v>6045.8531154776419</v>
      </c>
      <c r="K600" s="384">
        <f>VLOOKUP($A600,'8.Non-elective admissions - CCG'!$D$5:$N$215,4,0)*$H600</f>
        <v>5937.3285957515209</v>
      </c>
      <c r="L600" s="384">
        <f>VLOOKUP($A600,'8.Non-elective admissions - CCG'!$D$5:$N$215,5,0)*$H600</f>
        <v>6160.3624432768956</v>
      </c>
      <c r="M600" s="384">
        <f>VLOOKUP($A600,'8.Non-elective admissions - CCG'!$D$5:$N$215,6,0)*$H600</f>
        <v>6163.554340915899</v>
      </c>
      <c r="N600" s="384">
        <f>VLOOKUP($A600,'8.Non-elective admissions - CCG'!$D$5:$N$215,7,0)*$H600</f>
        <v>6203.8545023360994</v>
      </c>
      <c r="O600" s="384">
        <f>VLOOKUP($A600,'8.Non-elective admissions - CCG'!$D$5:$N$215,8,0)*$H600</f>
        <v>6203.4555151312243</v>
      </c>
      <c r="P600" s="384">
        <f>VLOOKUP($A600,'8.Non-elective admissions - CCG'!$D$5:$N$215,9,0)*$H600</f>
        <v>6203.4555151312243</v>
      </c>
      <c r="Q600" s="384">
        <f>VLOOKUP($A600,'8.Non-elective admissions - CCG'!$D$5:$N$215,10,0)*$H600</f>
        <v>6203.4555151312243</v>
      </c>
      <c r="R600" s="384">
        <f>VLOOKUP($A600,'8.Non-elective admissions - CCG'!$D$5:$Q$215,11,0)*$H600</f>
        <v>6336.6084504478986</v>
      </c>
      <c r="S600" s="384">
        <f>VLOOKUP($A600,'8.Non-elective admissions - CCG'!$D$5:$Q$215,12,0)*$H600</f>
        <v>6336.2094632430226</v>
      </c>
      <c r="T600" s="384">
        <f>VLOOKUP($A600,'8.Non-elective admissions - CCG'!$D$5:$Q$215,13,0)*$H600</f>
        <v>6336.2094632430226</v>
      </c>
      <c r="U600" s="384">
        <f>VLOOKUP($A600,'8.Non-elective admissions - CCG'!$D$5:$Q$215,14,0)*$H600</f>
        <v>6336.2094632430226</v>
      </c>
    </row>
    <row r="601" spans="1:21">
      <c r="A601" s="395" t="s">
        <v>494</v>
      </c>
      <c r="B601" s="395" t="s">
        <v>493</v>
      </c>
      <c r="C601" s="395" t="s">
        <v>687</v>
      </c>
      <c r="D601" s="395" t="s">
        <v>162</v>
      </c>
      <c r="E601" s="537">
        <f>COUNTIF($D$5:D601,D601)</f>
        <v>3</v>
      </c>
      <c r="F601" s="537" t="str">
        <f t="shared" si="18"/>
        <v>Dudley3</v>
      </c>
      <c r="G601" s="541" t="str">
        <f t="shared" si="19"/>
        <v>NHS Sandwell and West Birmingham CCG</v>
      </c>
      <c r="H601" s="546">
        <v>4.0109902154929877E-2</v>
      </c>
      <c r="I601" s="546">
        <v>6.8432437149749725E-2</v>
      </c>
      <c r="J601" s="384">
        <f>VLOOKUP($A601,'8.Non-elective admissions - CCG'!$D$5:$N$215,3,0)*$H601</f>
        <v>607.78534735365247</v>
      </c>
      <c r="K601" s="384">
        <f>VLOOKUP($A601,'8.Non-elective admissions - CCG'!$D$5:$N$215,4,0)*$H601</f>
        <v>596.87545396751148</v>
      </c>
      <c r="L601" s="384">
        <f>VLOOKUP($A601,'8.Non-elective admissions - CCG'!$D$5:$N$215,5,0)*$H601</f>
        <v>619.29688927211726</v>
      </c>
      <c r="M601" s="384">
        <f>VLOOKUP($A601,'8.Non-elective admissions - CCG'!$D$5:$N$215,6,0)*$H601</f>
        <v>619.61776848935676</v>
      </c>
      <c r="N601" s="384">
        <f>VLOOKUP($A601,'8.Non-elective admissions - CCG'!$D$5:$N$215,7,0)*$H601</f>
        <v>623.66911527852687</v>
      </c>
      <c r="O601" s="384">
        <f>VLOOKUP($A601,'8.Non-elective admissions - CCG'!$D$5:$N$215,8,0)*$H601</f>
        <v>623.62900537637199</v>
      </c>
      <c r="P601" s="384">
        <f>VLOOKUP($A601,'8.Non-elective admissions - CCG'!$D$5:$N$215,9,0)*$H601</f>
        <v>623.62900537637199</v>
      </c>
      <c r="Q601" s="384">
        <f>VLOOKUP($A601,'8.Non-elective admissions - CCG'!$D$5:$N$215,10,0)*$H601</f>
        <v>623.62900537637199</v>
      </c>
      <c r="R601" s="384">
        <f>VLOOKUP($A601,'8.Non-elective admissions - CCG'!$D$5:$Q$215,11,0)*$H601</f>
        <v>637.01477600242697</v>
      </c>
      <c r="S601" s="384">
        <f>VLOOKUP($A601,'8.Non-elective admissions - CCG'!$D$5:$Q$215,12,0)*$H601</f>
        <v>636.97466610027197</v>
      </c>
      <c r="T601" s="384">
        <f>VLOOKUP($A601,'8.Non-elective admissions - CCG'!$D$5:$Q$215,13,0)*$H601</f>
        <v>636.97466610027197</v>
      </c>
      <c r="U601" s="384">
        <f>VLOOKUP($A601,'8.Non-elective admissions - CCG'!$D$5:$Q$215,14,0)*$H601</f>
        <v>636.97466610027197</v>
      </c>
    </row>
    <row r="602" spans="1:21">
      <c r="A602" s="395" t="s">
        <v>494</v>
      </c>
      <c r="B602" s="395" t="s">
        <v>493</v>
      </c>
      <c r="C602" s="395" t="s">
        <v>756</v>
      </c>
      <c r="D602" s="395" t="s">
        <v>384</v>
      </c>
      <c r="E602" s="537">
        <f>COUNTIF($D$5:D602,D602)</f>
        <v>4</v>
      </c>
      <c r="F602" s="537" t="str">
        <f t="shared" si="18"/>
        <v>Sandwell4</v>
      </c>
      <c r="G602" s="541" t="str">
        <f t="shared" si="19"/>
        <v>NHS Sandwell and West Birmingham CCG</v>
      </c>
      <c r="H602" s="546">
        <v>0.54575298321507637</v>
      </c>
      <c r="I602" s="546">
        <v>0.89370963254585334</v>
      </c>
      <c r="J602" s="384">
        <f>VLOOKUP($A602,'8.Non-elective admissions - CCG'!$D$5:$N$215,3,0)*$H602</f>
        <v>8269.794954658053</v>
      </c>
      <c r="K602" s="384">
        <f>VLOOKUP($A602,'8.Non-elective admissions - CCG'!$D$5:$N$215,4,0)*$H602</f>
        <v>8121.3501432235516</v>
      </c>
      <c r="L602" s="384">
        <f>VLOOKUP($A602,'8.Non-elective admissions - CCG'!$D$5:$N$215,5,0)*$H602</f>
        <v>8426.4260608407785</v>
      </c>
      <c r="M602" s="384">
        <f>VLOOKUP($A602,'8.Non-elective admissions - CCG'!$D$5:$N$215,6,0)*$H602</f>
        <v>8430.7920847064997</v>
      </c>
      <c r="N602" s="384">
        <f>VLOOKUP($A602,'8.Non-elective admissions - CCG'!$D$5:$N$215,7,0)*$H602</f>
        <v>8485.9164923325279</v>
      </c>
      <c r="O602" s="384">
        <f>VLOOKUP($A602,'8.Non-elective admissions - CCG'!$D$5:$N$215,8,0)*$H602</f>
        <v>8485.3707393493132</v>
      </c>
      <c r="P602" s="384">
        <f>VLOOKUP($A602,'8.Non-elective admissions - CCG'!$D$5:$N$215,9,0)*$H602</f>
        <v>8485.3707393493132</v>
      </c>
      <c r="Q602" s="384">
        <f>VLOOKUP($A602,'8.Non-elective admissions - CCG'!$D$5:$N$215,10,0)*$H602</f>
        <v>8485.3707393493132</v>
      </c>
      <c r="R602" s="384">
        <f>VLOOKUP($A602,'8.Non-elective admissions - CCG'!$D$5:$Q$215,11,0)*$H602</f>
        <v>8667.5034262749614</v>
      </c>
      <c r="S602" s="384">
        <f>VLOOKUP($A602,'8.Non-elective admissions - CCG'!$D$5:$Q$215,12,0)*$H602</f>
        <v>8666.9576732917449</v>
      </c>
      <c r="T602" s="384">
        <f>VLOOKUP($A602,'8.Non-elective admissions - CCG'!$D$5:$Q$215,13,0)*$H602</f>
        <v>8666.9576732917449</v>
      </c>
      <c r="U602" s="384">
        <f>VLOOKUP($A602,'8.Non-elective admissions - CCG'!$D$5:$Q$215,14,0)*$H602</f>
        <v>8666.9576732917449</v>
      </c>
    </row>
    <row r="603" spans="1:21">
      <c r="A603" s="395" t="s">
        <v>494</v>
      </c>
      <c r="B603" s="395" t="s">
        <v>493</v>
      </c>
      <c r="C603" s="395" t="s">
        <v>785</v>
      </c>
      <c r="D603" s="395" t="s">
        <v>471</v>
      </c>
      <c r="E603" s="537">
        <f>COUNTIF($D$5:D603,D603)</f>
        <v>3</v>
      </c>
      <c r="F603" s="537" t="str">
        <f t="shared" si="18"/>
        <v>Walsall3</v>
      </c>
      <c r="G603" s="541" t="str">
        <f t="shared" si="19"/>
        <v>NHS Sandwell and West Birmingham CCG</v>
      </c>
      <c r="H603" s="546">
        <v>1.4141499024472228E-2</v>
      </c>
      <c r="I603" s="546">
        <v>2.77668175589879E-2</v>
      </c>
      <c r="J603" s="384">
        <f>VLOOKUP($A603,'8.Non-elective admissions - CCG'!$D$5:$N$215,3,0)*$H603</f>
        <v>214.28613471782768</v>
      </c>
      <c r="K603" s="384">
        <f>VLOOKUP($A603,'8.Non-elective admissions - CCG'!$D$5:$N$215,4,0)*$H603</f>
        <v>210.43964698317123</v>
      </c>
      <c r="L603" s="384">
        <f>VLOOKUP($A603,'8.Non-elective admissions - CCG'!$D$5:$N$215,5,0)*$H603</f>
        <v>218.3447449378512</v>
      </c>
      <c r="M603" s="384">
        <f>VLOOKUP($A603,'8.Non-elective admissions - CCG'!$D$5:$N$215,6,0)*$H603</f>
        <v>218.45787693004698</v>
      </c>
      <c r="N603" s="384">
        <f>VLOOKUP($A603,'8.Non-elective admissions - CCG'!$D$5:$N$215,7,0)*$H603</f>
        <v>219.88625530019485</v>
      </c>
      <c r="O603" s="384">
        <f>VLOOKUP($A603,'8.Non-elective admissions - CCG'!$D$5:$N$215,8,0)*$H603</f>
        <v>219.87211380117037</v>
      </c>
      <c r="P603" s="384">
        <f>VLOOKUP($A603,'8.Non-elective admissions - CCG'!$D$5:$N$215,9,0)*$H603</f>
        <v>219.87211380117037</v>
      </c>
      <c r="Q603" s="384">
        <f>VLOOKUP($A603,'8.Non-elective admissions - CCG'!$D$5:$N$215,10,0)*$H603</f>
        <v>219.87211380117037</v>
      </c>
      <c r="R603" s="384">
        <f>VLOOKUP($A603,'8.Non-elective admissions - CCG'!$D$5:$Q$215,11,0)*$H603</f>
        <v>224.59151853865859</v>
      </c>
      <c r="S603" s="384">
        <f>VLOOKUP($A603,'8.Non-elective admissions - CCG'!$D$5:$Q$215,12,0)*$H603</f>
        <v>224.57737703963411</v>
      </c>
      <c r="T603" s="384">
        <f>VLOOKUP($A603,'8.Non-elective admissions - CCG'!$D$5:$Q$215,13,0)*$H603</f>
        <v>224.57737703963411</v>
      </c>
      <c r="U603" s="384">
        <f>VLOOKUP($A603,'8.Non-elective admissions - CCG'!$D$5:$Q$215,14,0)*$H603</f>
        <v>224.57737703963411</v>
      </c>
    </row>
    <row r="604" spans="1:21">
      <c r="A604" s="395" t="s">
        <v>494</v>
      </c>
      <c r="B604" s="395" t="s">
        <v>493</v>
      </c>
      <c r="C604" s="395" t="s">
        <v>798</v>
      </c>
      <c r="D604" s="395" t="s">
        <v>510</v>
      </c>
      <c r="E604" s="537">
        <f>COUNTIF($D$5:D604,D604)</f>
        <v>2</v>
      </c>
      <c r="F604" s="537" t="str">
        <f t="shared" si="18"/>
        <v>Wolverhampton2</v>
      </c>
      <c r="G604" s="541" t="str">
        <f t="shared" si="19"/>
        <v>NHS Sandwell and West Birmingham CCG</v>
      </c>
      <c r="H604" s="546">
        <v>1.0084107300747539E-3</v>
      </c>
      <c r="I604" s="546">
        <v>2.0753596162088588E-3</v>
      </c>
      <c r="J604" s="384">
        <f>VLOOKUP($A604,'8.Non-elective admissions - CCG'!$D$5:$N$215,3,0)*$H604</f>
        <v>15.280447792822745</v>
      </c>
      <c r="K604" s="384">
        <f>VLOOKUP($A604,'8.Non-elective admissions - CCG'!$D$5:$N$215,4,0)*$H604</f>
        <v>15.006160074242413</v>
      </c>
      <c r="L604" s="384">
        <f>VLOOKUP($A604,'8.Non-elective admissions - CCG'!$D$5:$N$215,5,0)*$H604</f>
        <v>15.5698616723542</v>
      </c>
      <c r="M604" s="384">
        <f>VLOOKUP($A604,'8.Non-elective admissions - CCG'!$D$5:$N$215,6,0)*$H604</f>
        <v>15.577928958194798</v>
      </c>
      <c r="N604" s="384">
        <f>VLOOKUP($A604,'8.Non-elective admissions - CCG'!$D$5:$N$215,7,0)*$H604</f>
        <v>15.67978464354832</v>
      </c>
      <c r="O604" s="384">
        <f>VLOOKUP($A604,'8.Non-elective admissions - CCG'!$D$5:$N$215,8,0)*$H604</f>
        <v>15.678776232818246</v>
      </c>
      <c r="P604" s="384">
        <f>VLOOKUP($A604,'8.Non-elective admissions - CCG'!$D$5:$N$215,9,0)*$H604</f>
        <v>15.678776232818246</v>
      </c>
      <c r="Q604" s="384">
        <f>VLOOKUP($A604,'8.Non-elective admissions - CCG'!$D$5:$N$215,10,0)*$H604</f>
        <v>15.678776232818246</v>
      </c>
      <c r="R604" s="384">
        <f>VLOOKUP($A604,'8.Non-elective admissions - CCG'!$D$5:$Q$215,11,0)*$H604</f>
        <v>16.015310455153021</v>
      </c>
      <c r="S604" s="384">
        <f>VLOOKUP($A604,'8.Non-elective admissions - CCG'!$D$5:$Q$215,12,0)*$H604</f>
        <v>16.014302044422944</v>
      </c>
      <c r="T604" s="384">
        <f>VLOOKUP($A604,'8.Non-elective admissions - CCG'!$D$5:$Q$215,13,0)*$H604</f>
        <v>16.014302044422944</v>
      </c>
      <c r="U604" s="384">
        <f>VLOOKUP($A604,'8.Non-elective admissions - CCG'!$D$5:$Q$215,14,0)*$H604</f>
        <v>16.014302044422944</v>
      </c>
    </row>
    <row r="605" spans="1:21">
      <c r="A605" s="395" t="s">
        <v>497</v>
      </c>
      <c r="B605" s="395" t="s">
        <v>496</v>
      </c>
      <c r="C605" s="395" t="s">
        <v>689</v>
      </c>
      <c r="D605" s="395" t="s">
        <v>169</v>
      </c>
      <c r="E605" s="537">
        <f>COUNTIF($D$5:D605,D605)</f>
        <v>3</v>
      </c>
      <c r="F605" s="537" t="str">
        <f t="shared" si="18"/>
        <v>East Riding of Yorkshire3</v>
      </c>
      <c r="G605" s="541" t="str">
        <f t="shared" si="19"/>
        <v>NHS Scarborough and Ryedale CCG</v>
      </c>
      <c r="H605" s="546">
        <v>6.6593895700589783E-3</v>
      </c>
      <c r="I605" s="546">
        <v>2.2928429504547815E-3</v>
      </c>
      <c r="J605" s="384">
        <f>VLOOKUP($A605,'8.Non-elective admissions - CCG'!$D$5:$N$215,3,0)*$H605</f>
        <v>23.161356924665128</v>
      </c>
      <c r="K605" s="384">
        <f>VLOOKUP($A605,'8.Non-elective admissions - CCG'!$D$5:$N$215,4,0)*$H605</f>
        <v>20.00480626845717</v>
      </c>
      <c r="L605" s="384">
        <f>VLOOKUP($A605,'8.Non-elective admissions - CCG'!$D$5:$N$215,5,0)*$H605</f>
        <v>19.818343360495518</v>
      </c>
      <c r="M605" s="384">
        <f>VLOOKUP($A605,'8.Non-elective admissions - CCG'!$D$5:$N$215,6,0)*$H605</f>
        <v>18.599675069174726</v>
      </c>
      <c r="N605" s="384">
        <f>VLOOKUP($A605,'8.Non-elective admissions - CCG'!$D$5:$N$215,7,0)*$H605</f>
        <v>19.641155311144356</v>
      </c>
      <c r="O605" s="384">
        <f>VLOOKUP($A605,'8.Non-elective admissions - CCG'!$D$5:$N$215,8,0)*$H605</f>
        <v>20.881515179478551</v>
      </c>
      <c r="P605" s="384">
        <f>VLOOKUP($A605,'8.Non-elective admissions - CCG'!$D$5:$N$215,9,0)*$H605</f>
        <v>20.573820153993736</v>
      </c>
      <c r="Q605" s="384">
        <f>VLOOKUP($A605,'8.Non-elective admissions - CCG'!$D$5:$N$215,10,0)*$H605</f>
        <v>20.246965595239558</v>
      </c>
      <c r="R605" s="384">
        <f>VLOOKUP($A605,'8.Non-elective admissions - CCG'!$D$5:$Q$215,11,0)*$H605</f>
        <v>20.220962046008637</v>
      </c>
      <c r="S605" s="384">
        <f>VLOOKUP($A605,'8.Non-elective admissions - CCG'!$D$5:$Q$215,12,0)*$H605</f>
        <v>20.44317042011366</v>
      </c>
      <c r="T605" s="384">
        <f>VLOOKUP($A605,'8.Non-elective admissions - CCG'!$D$5:$Q$215,13,0)*$H605</f>
        <v>20.44317042011366</v>
      </c>
      <c r="U605" s="384">
        <f>VLOOKUP($A605,'8.Non-elective admissions - CCG'!$D$5:$Q$215,14,0)*$H605</f>
        <v>20.220962045942041</v>
      </c>
    </row>
    <row r="606" spans="1:21">
      <c r="A606" s="395" t="s">
        <v>497</v>
      </c>
      <c r="B606" s="395" t="s">
        <v>496</v>
      </c>
      <c r="C606" s="395" t="s">
        <v>738</v>
      </c>
      <c r="D606" s="395" t="s">
        <v>330</v>
      </c>
      <c r="E606" s="537">
        <f>COUNTIF($D$5:D606,D606)</f>
        <v>13</v>
      </c>
      <c r="F606" s="537" t="str">
        <f t="shared" si="18"/>
        <v>North Yorkshire13</v>
      </c>
      <c r="G606" s="541" t="str">
        <f t="shared" si="19"/>
        <v>NHS Scarborough and Ryedale CCG</v>
      </c>
      <c r="H606" s="546">
        <v>0.99334061042994104</v>
      </c>
      <c r="I606" s="546">
        <v>0.19246609480338919</v>
      </c>
      <c r="J606" s="384">
        <f>VLOOKUP($A606,'8.Non-elective admissions - CCG'!$D$5:$N$215,3,0)*$H606</f>
        <v>3454.8386430753349</v>
      </c>
      <c r="K606" s="384">
        <f>VLOOKUP($A606,'8.Non-elective admissions - CCG'!$D$5:$N$215,4,0)*$H606</f>
        <v>2983.9951937315427</v>
      </c>
      <c r="L606" s="384">
        <f>VLOOKUP($A606,'8.Non-elective admissions - CCG'!$D$5:$N$215,5,0)*$H606</f>
        <v>2956.1816566395046</v>
      </c>
      <c r="M606" s="384">
        <f>VLOOKUP($A606,'8.Non-elective admissions - CCG'!$D$5:$N$215,6,0)*$H606</f>
        <v>2774.4003249308253</v>
      </c>
      <c r="N606" s="384">
        <f>VLOOKUP($A606,'8.Non-elective admissions - CCG'!$D$5:$N$215,7,0)*$H606</f>
        <v>2929.7515937558555</v>
      </c>
      <c r="O606" s="384">
        <f>VLOOKUP($A606,'8.Non-elective admissions - CCG'!$D$5:$N$215,8,0)*$H606</f>
        <v>3114.7685259839213</v>
      </c>
      <c r="P606" s="384">
        <f>VLOOKUP($A606,'8.Non-elective admissions - CCG'!$D$5:$N$215,9,0)*$H606</f>
        <v>3068.8715317886058</v>
      </c>
      <c r="Q606" s="384">
        <f>VLOOKUP($A606,'8.Non-elective admissions - CCG'!$D$5:$N$215,10,0)*$H606</f>
        <v>3020.1166266281602</v>
      </c>
      <c r="R606" s="384">
        <f>VLOOKUP($A606,'8.Non-elective admissions - CCG'!$D$5:$Q$215,11,0)*$H606</f>
        <v>3016.2378354574917</v>
      </c>
      <c r="S606" s="384">
        <f>VLOOKUP($A606,'8.Non-elective admissions - CCG'!$D$5:$Q$215,12,0)*$H606</f>
        <v>3049.383306172786</v>
      </c>
      <c r="T606" s="384">
        <f>VLOOKUP($A606,'8.Non-elective admissions - CCG'!$D$5:$Q$215,13,0)*$H606</f>
        <v>3049.383306172786</v>
      </c>
      <c r="U606" s="384">
        <f>VLOOKUP($A606,'8.Non-elective admissions - CCG'!$D$5:$Q$215,14,0)*$H606</f>
        <v>3016.2378354475582</v>
      </c>
    </row>
    <row r="607" spans="1:21">
      <c r="A607" s="395" t="s">
        <v>500</v>
      </c>
      <c r="B607" s="395" t="s">
        <v>499</v>
      </c>
      <c r="C607" s="395" t="s">
        <v>652</v>
      </c>
      <c r="D607" s="395" t="s">
        <v>23</v>
      </c>
      <c r="E607" s="537">
        <f>COUNTIF($D$5:D607,D607)</f>
        <v>5</v>
      </c>
      <c r="F607" s="537" t="str">
        <f t="shared" si="18"/>
        <v>Barnsley5</v>
      </c>
      <c r="G607" s="541" t="str">
        <f t="shared" si="19"/>
        <v>NHS Sheffield CCG</v>
      </c>
      <c r="H607" s="546">
        <v>1.5784679717635369E-3</v>
      </c>
      <c r="I607" s="546">
        <v>3.7650757335725427E-3</v>
      </c>
      <c r="J607" s="384">
        <f>VLOOKUP($A607,'8.Non-elective admissions - CCG'!$D$5:$N$215,3,0)*$H607</f>
        <v>24.573589384414742</v>
      </c>
      <c r="K607" s="384">
        <f>VLOOKUP($A607,'8.Non-elective admissions - CCG'!$D$5:$N$215,4,0)*$H607</f>
        <v>23.508123503474355</v>
      </c>
      <c r="L607" s="384">
        <f>VLOOKUP($A607,'8.Non-elective admissions - CCG'!$D$5:$N$215,5,0)*$H607</f>
        <v>25.441746768884688</v>
      </c>
      <c r="M607" s="384">
        <f>VLOOKUP($A607,'8.Non-elective admissions - CCG'!$D$5:$N$215,6,0)*$H607</f>
        <v>24.322612976904338</v>
      </c>
      <c r="N607" s="384">
        <f>VLOOKUP($A607,'8.Non-elective admissions - CCG'!$D$5:$N$215,7,0)*$H607</f>
        <v>21.711391497375086</v>
      </c>
      <c r="O607" s="384">
        <f>VLOOKUP($A607,'8.Non-elective admissions - CCG'!$D$5:$N$215,8,0)*$H607</f>
        <v>21.864438892760322</v>
      </c>
      <c r="P607" s="384">
        <f>VLOOKUP($A607,'8.Non-elective admissions - CCG'!$D$5:$N$215,9,0)*$H607</f>
        <v>23.629082485190537</v>
      </c>
      <c r="Q607" s="384">
        <f>VLOOKUP($A607,'8.Non-elective admissions - CCG'!$D$5:$N$215,10,0)*$H607</f>
        <v>23.30236862680011</v>
      </c>
      <c r="R607" s="384">
        <f>VLOOKUP($A607,'8.Non-elective admissions - CCG'!$D$5:$Q$215,11,0)*$H607</f>
        <v>21.389774151039862</v>
      </c>
      <c r="S607" s="384">
        <f>VLOOKUP($A607,'8.Non-elective admissions - CCG'!$D$5:$Q$215,12,0)*$H607</f>
        <v>21.546501167029806</v>
      </c>
      <c r="T607" s="384">
        <f>VLOOKUP($A607,'8.Non-elective admissions - CCG'!$D$5:$Q$215,13,0)*$H607</f>
        <v>23.263015794655125</v>
      </c>
      <c r="U607" s="384">
        <f>VLOOKUP($A607,'8.Non-elective admissions - CCG'!$D$5:$Q$215,14,0)*$H607</f>
        <v>22.97562452140863</v>
      </c>
    </row>
    <row r="608" spans="1:21">
      <c r="A608" s="395" t="s">
        <v>500</v>
      </c>
      <c r="B608" s="395" t="s">
        <v>499</v>
      </c>
      <c r="C608" s="395" t="s">
        <v>683</v>
      </c>
      <c r="D608" s="395" t="s">
        <v>146</v>
      </c>
      <c r="E608" s="537">
        <f>COUNTIF($D$5:D608,D608)</f>
        <v>10</v>
      </c>
      <c r="F608" s="537" t="str">
        <f t="shared" si="18"/>
        <v>Derbyshire10</v>
      </c>
      <c r="G608" s="541" t="str">
        <f t="shared" si="19"/>
        <v>NHS Sheffield CCG</v>
      </c>
      <c r="H608" s="546">
        <v>5.7325126449947906E-3</v>
      </c>
      <c r="I608" s="546">
        <v>4.2103796056966198E-3</v>
      </c>
      <c r="J608" s="384">
        <f>VLOOKUP($A608,'8.Non-elective admissions - CCG'!$D$5:$N$215,3,0)*$H608</f>
        <v>89.243756857278896</v>
      </c>
      <c r="K608" s="384">
        <f>VLOOKUP($A608,'8.Non-elective admissions - CCG'!$D$5:$N$215,4,0)*$H608</f>
        <v>85.374310821907414</v>
      </c>
      <c r="L608" s="384">
        <f>VLOOKUP($A608,'8.Non-elective admissions - CCG'!$D$5:$N$215,5,0)*$H608</f>
        <v>92.39663881202604</v>
      </c>
      <c r="M608" s="384">
        <f>VLOOKUP($A608,'8.Non-elective admissions - CCG'!$D$5:$N$215,6,0)*$H608</f>
        <v>88.332287346724726</v>
      </c>
      <c r="N608" s="384">
        <f>VLOOKUP($A608,'8.Non-elective admissions - CCG'!$D$5:$N$215,7,0)*$H608</f>
        <v>78.849129995385141</v>
      </c>
      <c r="O608" s="384">
        <f>VLOOKUP($A608,'8.Non-elective admissions - CCG'!$D$5:$N$215,8,0)*$H608</f>
        <v>79.404951301248687</v>
      </c>
      <c r="P608" s="384">
        <f>VLOOKUP($A608,'8.Non-elective admissions - CCG'!$D$5:$N$215,9,0)*$H608</f>
        <v>85.813596828730226</v>
      </c>
      <c r="Q608" s="384">
        <f>VLOOKUP($A608,'8.Non-elective admissions - CCG'!$D$5:$N$215,10,0)*$H608</f>
        <v>84.627072073067495</v>
      </c>
      <c r="R608" s="384">
        <f>VLOOKUP($A608,'8.Non-elective admissions - CCG'!$D$5:$Q$215,11,0)*$H608</f>
        <v>77.68111421191854</v>
      </c>
      <c r="S608" s="384">
        <f>VLOOKUP($A608,'8.Non-elective admissions - CCG'!$D$5:$Q$215,12,0)*$H608</f>
        <v>78.250298773814265</v>
      </c>
      <c r="T608" s="384">
        <f>VLOOKUP($A608,'8.Non-elective admissions - CCG'!$D$5:$Q$215,13,0)*$H608</f>
        <v>84.484154629113647</v>
      </c>
      <c r="U608" s="384">
        <f>VLOOKUP($A608,'8.Non-elective admissions - CCG'!$D$5:$Q$215,14,0)*$H608</f>
        <v>83.440437469552876</v>
      </c>
    </row>
    <row r="609" spans="1:21">
      <c r="A609" s="395" t="s">
        <v>500</v>
      </c>
      <c r="B609" s="395" t="s">
        <v>499</v>
      </c>
      <c r="C609" s="395" t="s">
        <v>753</v>
      </c>
      <c r="D609" s="395" t="s">
        <v>375</v>
      </c>
      <c r="E609" s="537">
        <f>COUNTIF($D$5:D609,D609)</f>
        <v>5</v>
      </c>
      <c r="F609" s="537" t="str">
        <f t="shared" si="18"/>
        <v>Rotherham5</v>
      </c>
      <c r="G609" s="541" t="str">
        <f t="shared" si="19"/>
        <v>NHS Sheffield CCG</v>
      </c>
      <c r="H609" s="546">
        <v>6.7468723907838177E-3</v>
      </c>
      <c r="I609" s="546">
        <v>1.4494902138099987E-2</v>
      </c>
      <c r="J609" s="384">
        <f>VLOOKUP($A609,'8.Non-elective admissions - CCG'!$D$5:$N$215,3,0)*$H609</f>
        <v>105.03530937972248</v>
      </c>
      <c r="K609" s="384">
        <f>VLOOKUP($A609,'8.Non-elective admissions - CCG'!$D$5:$N$215,4,0)*$H609</f>
        <v>100.4811705159434</v>
      </c>
      <c r="L609" s="384">
        <f>VLOOKUP($A609,'8.Non-elective admissions - CCG'!$D$5:$N$215,5,0)*$H609</f>
        <v>108.74608919465358</v>
      </c>
      <c r="M609" s="384">
        <f>VLOOKUP($A609,'8.Non-elective admissions - CCG'!$D$5:$N$215,6,0)*$H609</f>
        <v>103.96255666958785</v>
      </c>
      <c r="N609" s="384">
        <f>VLOOKUP($A609,'8.Non-elective admissions - CCG'!$D$5:$N$215,7,0)*$H609</f>
        <v>92.801368465829469</v>
      </c>
      <c r="O609" s="384">
        <f>VLOOKUP($A609,'8.Non-elective admissions - CCG'!$D$5:$N$215,8,0)*$H609</f>
        <v>93.455541540530731</v>
      </c>
      <c r="P609" s="384">
        <f>VLOOKUP($A609,'8.Non-elective admissions - CCG'!$D$5:$N$215,9,0)*$H609</f>
        <v>100.99818754052481</v>
      </c>
      <c r="Q609" s="384">
        <f>VLOOKUP($A609,'8.Non-elective admissions - CCG'!$D$5:$N$215,10,0)*$H609</f>
        <v>99.601708961109537</v>
      </c>
      <c r="R609" s="384">
        <f>VLOOKUP($A609,'8.Non-elective admissions - CCG'!$D$5:$Q$215,11,0)*$H609</f>
        <v>91.426673994226135</v>
      </c>
      <c r="S609" s="384">
        <f>VLOOKUP($A609,'8.Non-elective admissions - CCG'!$D$5:$Q$215,12,0)*$H609</f>
        <v>92.096574933610469</v>
      </c>
      <c r="T609" s="384">
        <f>VLOOKUP($A609,'8.Non-elective admissions - CCG'!$D$5:$Q$215,13,0)*$H609</f>
        <v>99.433502484039565</v>
      </c>
      <c r="U609" s="384">
        <f>VLOOKUP($A609,'8.Non-elective admissions - CCG'!$D$5:$Q$215,14,0)*$H609</f>
        <v>98.205101096425309</v>
      </c>
    </row>
    <row r="610" spans="1:21">
      <c r="A610" s="395" t="s">
        <v>500</v>
      </c>
      <c r="B610" s="395" t="s">
        <v>499</v>
      </c>
      <c r="C610" s="395" t="s">
        <v>758</v>
      </c>
      <c r="D610" s="395" t="s">
        <v>390</v>
      </c>
      <c r="E610" s="537">
        <f>COUNTIF($D$5:D610,D610)</f>
        <v>5</v>
      </c>
      <c r="F610" s="537" t="str">
        <f t="shared" si="18"/>
        <v>Sheffield5</v>
      </c>
      <c r="G610" s="541" t="str">
        <f t="shared" si="19"/>
        <v>NHS Sheffield CCG</v>
      </c>
      <c r="H610" s="546">
        <v>0.98594214699245797</v>
      </c>
      <c r="I610" s="546">
        <v>0.99205869793890666</v>
      </c>
      <c r="J610" s="384">
        <f>VLOOKUP($A610,'8.Non-elective admissions - CCG'!$D$5:$N$215,3,0)*$H610</f>
        <v>15349.147344378585</v>
      </c>
      <c r="K610" s="384">
        <f>VLOOKUP($A610,'8.Non-elective admissions - CCG'!$D$5:$N$215,4,0)*$H610</f>
        <v>14683.636395158677</v>
      </c>
      <c r="L610" s="384">
        <f>VLOOKUP($A610,'8.Non-elective admissions - CCG'!$D$5:$N$215,5,0)*$H610</f>
        <v>15891.415525224438</v>
      </c>
      <c r="M610" s="384">
        <f>VLOOKUP($A610,'8.Non-elective admissions - CCG'!$D$5:$N$215,6,0)*$H610</f>
        <v>15192.382543006785</v>
      </c>
      <c r="N610" s="384">
        <f>VLOOKUP($A610,'8.Non-elective admissions - CCG'!$D$5:$N$215,7,0)*$H610</f>
        <v>13561.36223860141</v>
      </c>
      <c r="O610" s="384">
        <f>VLOOKUP($A610,'8.Non-elective admissions - CCG'!$D$5:$N$215,8,0)*$H610</f>
        <v>13656.958652527464</v>
      </c>
      <c r="P610" s="384">
        <f>VLOOKUP($A610,'8.Non-elective admissions - CCG'!$D$5:$N$215,9,0)*$H610</f>
        <v>14759.189754659556</v>
      </c>
      <c r="Q610" s="384">
        <f>VLOOKUP($A610,'8.Non-elective admissions - CCG'!$D$5:$N$215,10,0)*$H610</f>
        <v>14555.117851551024</v>
      </c>
      <c r="R610" s="384">
        <f>VLOOKUP($A610,'8.Non-elective admissions - CCG'!$D$5:$Q$215,11,0)*$H610</f>
        <v>13360.473717181816</v>
      </c>
      <c r="S610" s="384">
        <f>VLOOKUP($A610,'8.Non-elective admissions - CCG'!$D$5:$Q$215,12,0)*$H610</f>
        <v>13458.368494523547</v>
      </c>
      <c r="T610" s="384">
        <f>VLOOKUP($A610,'8.Non-elective admissions - CCG'!$D$5:$Q$215,13,0)*$H610</f>
        <v>14530.537298439192</v>
      </c>
      <c r="U610" s="384">
        <f>VLOOKUP($A610,'8.Non-elective admissions - CCG'!$D$5:$Q$215,14,0)*$H610</f>
        <v>14351.027055570614</v>
      </c>
    </row>
    <row r="611" spans="1:21">
      <c r="A611" s="395" t="s">
        <v>503</v>
      </c>
      <c r="B611" s="395" t="s">
        <v>502</v>
      </c>
      <c r="C611" s="395" t="s">
        <v>673</v>
      </c>
      <c r="D611" s="395" t="s">
        <v>110</v>
      </c>
      <c r="E611" s="537">
        <f>COUNTIF($D$5:D611,D611)</f>
        <v>4</v>
      </c>
      <c r="F611" s="537" t="str">
        <f t="shared" si="18"/>
        <v>Cheshire East4</v>
      </c>
      <c r="G611" s="541" t="str">
        <f t="shared" si="19"/>
        <v>NHS Shropshire CCG</v>
      </c>
      <c r="H611" s="546">
        <v>1.090047393364929E-3</v>
      </c>
      <c r="I611" s="546">
        <v>0</v>
      </c>
      <c r="J611" s="384">
        <f>VLOOKUP($A611,'8.Non-elective admissions - CCG'!$D$5:$N$215,3,0)*$H611</f>
        <v>7.3687203791469198</v>
      </c>
      <c r="K611" s="384">
        <f>VLOOKUP($A611,'8.Non-elective admissions - CCG'!$D$5:$N$215,4,0)*$H611</f>
        <v>7.1932227488151659</v>
      </c>
      <c r="L611" s="384">
        <f>VLOOKUP($A611,'8.Non-elective admissions - CCG'!$D$5:$N$215,5,0)*$H611</f>
        <v>8.0020379146919431</v>
      </c>
      <c r="M611" s="384">
        <f>VLOOKUP($A611,'8.Non-elective admissions - CCG'!$D$5:$N$215,6,0)*$H611</f>
        <v>7.8319905213270147</v>
      </c>
      <c r="N611" s="384">
        <f>VLOOKUP($A611,'8.Non-elective admissions - CCG'!$D$5:$N$215,7,0)*$H611</f>
        <v>7.8592417061611375</v>
      </c>
      <c r="O611" s="384">
        <f>VLOOKUP($A611,'8.Non-elective admissions - CCG'!$D$5:$N$215,8,0)*$H611</f>
        <v>7.5300473933649297</v>
      </c>
      <c r="P611" s="384">
        <f>VLOOKUP($A611,'8.Non-elective admissions - CCG'!$D$5:$N$215,9,0)*$H611</f>
        <v>8.0216587677725126</v>
      </c>
      <c r="Q611" s="384">
        <f>VLOOKUP($A611,'8.Non-elective admissions - CCG'!$D$5:$N$215,10,0)*$H611</f>
        <v>7.5420379146919432</v>
      </c>
      <c r="R611" s="384">
        <f>VLOOKUP($A611,'8.Non-elective admissions - CCG'!$D$5:$Q$215,11,0)*$H611</f>
        <v>7.8657819905213273</v>
      </c>
      <c r="S611" s="384">
        <f>VLOOKUP($A611,'8.Non-elective admissions - CCG'!$D$5:$Q$215,12,0)*$H611</f>
        <v>7.5365876777251186</v>
      </c>
      <c r="T611" s="384">
        <f>VLOOKUP($A611,'8.Non-elective admissions - CCG'!$D$5:$Q$215,13,0)*$H611</f>
        <v>8.0281990521327025</v>
      </c>
      <c r="U611" s="384">
        <f>VLOOKUP($A611,'8.Non-elective admissions - CCG'!$D$5:$Q$215,14,0)*$H611</f>
        <v>7.5474881516587686</v>
      </c>
    </row>
    <row r="612" spans="1:21">
      <c r="A612" s="395" t="s">
        <v>503</v>
      </c>
      <c r="B612" s="395" t="s">
        <v>502</v>
      </c>
      <c r="C612" s="395" t="s">
        <v>704</v>
      </c>
      <c r="D612" s="395" t="s">
        <v>223</v>
      </c>
      <c r="E612" s="537">
        <f>COUNTIF($D$5:D612,D612)</f>
        <v>3</v>
      </c>
      <c r="F612" s="537" t="str">
        <f t="shared" si="18"/>
        <v>Herefordshire, County of3</v>
      </c>
      <c r="G612" s="541" t="str">
        <f t="shared" si="19"/>
        <v>NHS Shropshire CCG</v>
      </c>
      <c r="H612" s="546">
        <v>2.7928232904536224E-3</v>
      </c>
      <c r="I612" s="546">
        <v>4.5366811290562048E-3</v>
      </c>
      <c r="J612" s="384">
        <f>VLOOKUP($A612,'8.Non-elective admissions - CCG'!$D$5:$N$215,3,0)*$H612</f>
        <v>18.879485443466486</v>
      </c>
      <c r="K612" s="384">
        <f>VLOOKUP($A612,'8.Non-elective admissions - CCG'!$D$5:$N$215,4,0)*$H612</f>
        <v>18.429840893703453</v>
      </c>
      <c r="L612" s="384">
        <f>VLOOKUP($A612,'8.Non-elective admissions - CCG'!$D$5:$N$215,5,0)*$H612</f>
        <v>20.502115775220041</v>
      </c>
      <c r="M612" s="384">
        <f>VLOOKUP($A612,'8.Non-elective admissions - CCG'!$D$5:$N$215,6,0)*$H612</f>
        <v>20.066435341909276</v>
      </c>
      <c r="N612" s="384">
        <f>VLOOKUP($A612,'8.Non-elective admissions - CCG'!$D$5:$N$215,7,0)*$H612</f>
        <v>20.136255924170616</v>
      </c>
      <c r="O612" s="384">
        <f>VLOOKUP($A612,'8.Non-elective admissions - CCG'!$D$5:$N$215,8,0)*$H612</f>
        <v>19.292823290453622</v>
      </c>
      <c r="P612" s="384">
        <f>VLOOKUP($A612,'8.Non-elective admissions - CCG'!$D$5:$N$215,9,0)*$H612</f>
        <v>20.552386594448208</v>
      </c>
      <c r="Q612" s="384">
        <f>VLOOKUP($A612,'8.Non-elective admissions - CCG'!$D$5:$N$215,10,0)*$H612</f>
        <v>19.323544346648614</v>
      </c>
      <c r="R612" s="384">
        <f>VLOOKUP($A612,'8.Non-elective admissions - CCG'!$D$5:$Q$215,11,0)*$H612</f>
        <v>20.153012863913339</v>
      </c>
      <c r="S612" s="384">
        <f>VLOOKUP($A612,'8.Non-elective admissions - CCG'!$D$5:$Q$215,12,0)*$H612</f>
        <v>19.309580230196346</v>
      </c>
      <c r="T612" s="384">
        <f>VLOOKUP($A612,'8.Non-elective admissions - CCG'!$D$5:$Q$215,13,0)*$H612</f>
        <v>20.569143534190928</v>
      </c>
      <c r="U612" s="384">
        <f>VLOOKUP($A612,'8.Non-elective admissions - CCG'!$D$5:$Q$215,14,0)*$H612</f>
        <v>19.337508463100882</v>
      </c>
    </row>
    <row r="613" spans="1:21">
      <c r="A613" s="395" t="s">
        <v>503</v>
      </c>
      <c r="B613" s="395" t="s">
        <v>502</v>
      </c>
      <c r="C613" s="395" t="s">
        <v>759</v>
      </c>
      <c r="D613" s="395" t="s">
        <v>393</v>
      </c>
      <c r="E613" s="537">
        <f>COUNTIF($D$5:D613,D613)</f>
        <v>3</v>
      </c>
      <c r="F613" s="537" t="str">
        <f t="shared" si="18"/>
        <v>Shropshire3</v>
      </c>
      <c r="G613" s="541" t="str">
        <f t="shared" si="19"/>
        <v>NHS Shropshire CCG</v>
      </c>
      <c r="H613" s="546">
        <v>0.96423493568043328</v>
      </c>
      <c r="I613" s="546">
        <v>0.95427864996884237</v>
      </c>
      <c r="J613" s="384">
        <f>VLOOKUP($A613,'8.Non-elective admissions - CCG'!$D$5:$N$215,3,0)*$H613</f>
        <v>6518.2281651997291</v>
      </c>
      <c r="K613" s="384">
        <f>VLOOKUP($A613,'8.Non-elective admissions - CCG'!$D$5:$N$215,4,0)*$H613</f>
        <v>6362.9863405551796</v>
      </c>
      <c r="L613" s="384">
        <f>VLOOKUP($A613,'8.Non-elective admissions - CCG'!$D$5:$N$215,5,0)*$H613</f>
        <v>7078.448662830061</v>
      </c>
      <c r="M613" s="384">
        <f>VLOOKUP($A613,'8.Non-elective admissions - CCG'!$D$5:$N$215,6,0)*$H613</f>
        <v>6928.0280128639133</v>
      </c>
      <c r="N613" s="384">
        <f>VLOOKUP($A613,'8.Non-elective admissions - CCG'!$D$5:$N$215,7,0)*$H613</f>
        <v>6952.1338862559242</v>
      </c>
      <c r="O613" s="384">
        <f>VLOOKUP($A613,'8.Non-elective admissions - CCG'!$D$5:$N$215,8,0)*$H613</f>
        <v>6660.9349356804332</v>
      </c>
      <c r="P613" s="384">
        <f>VLOOKUP($A613,'8.Non-elective admissions - CCG'!$D$5:$N$215,9,0)*$H613</f>
        <v>7095.8048916723083</v>
      </c>
      <c r="Q613" s="384">
        <f>VLOOKUP($A613,'8.Non-elective admissions - CCG'!$D$5:$N$215,10,0)*$H613</f>
        <v>6671.5415199729177</v>
      </c>
      <c r="R613" s="384">
        <f>VLOOKUP($A613,'8.Non-elective admissions - CCG'!$D$5:$Q$215,11,0)*$H613</f>
        <v>6957.9192958700069</v>
      </c>
      <c r="S613" s="384">
        <f>VLOOKUP($A613,'8.Non-elective admissions - CCG'!$D$5:$Q$215,12,0)*$H613</f>
        <v>6666.7203452945159</v>
      </c>
      <c r="T613" s="384">
        <f>VLOOKUP($A613,'8.Non-elective admissions - CCG'!$D$5:$Q$215,13,0)*$H613</f>
        <v>7101.590301286391</v>
      </c>
      <c r="U613" s="384">
        <f>VLOOKUP($A613,'8.Non-elective admissions - CCG'!$D$5:$Q$215,14,0)*$H613</f>
        <v>6676.3626946513205</v>
      </c>
    </row>
    <row r="614" spans="1:21">
      <c r="A614" s="395" t="s">
        <v>503</v>
      </c>
      <c r="B614" s="395" t="s">
        <v>502</v>
      </c>
      <c r="C614" s="395" t="s">
        <v>769</v>
      </c>
      <c r="D614" s="395" t="s">
        <v>423</v>
      </c>
      <c r="E614" s="537">
        <f>COUNTIF($D$5:D614,D614)</f>
        <v>8</v>
      </c>
      <c r="F614" s="537" t="str">
        <f t="shared" si="18"/>
        <v>Staffordshire8</v>
      </c>
      <c r="G614" s="541" t="str">
        <f t="shared" si="19"/>
        <v>NHS Shropshire CCG</v>
      </c>
      <c r="H614" s="546">
        <v>1.1401489505754909E-2</v>
      </c>
      <c r="I614" s="546">
        <v>3.8727244294400648E-3</v>
      </c>
      <c r="J614" s="384">
        <f>VLOOKUP($A614,'8.Non-elective admissions - CCG'!$D$5:$N$215,3,0)*$H614</f>
        <v>77.074069058903191</v>
      </c>
      <c r="K614" s="384">
        <f>VLOOKUP($A614,'8.Non-elective admissions - CCG'!$D$5:$N$215,4,0)*$H614</f>
        <v>75.238429248476649</v>
      </c>
      <c r="L614" s="384">
        <f>VLOOKUP($A614,'8.Non-elective admissions - CCG'!$D$5:$N$215,5,0)*$H614</f>
        <v>83.698334461746782</v>
      </c>
      <c r="M614" s="384">
        <f>VLOOKUP($A614,'8.Non-elective admissions - CCG'!$D$5:$N$215,6,0)*$H614</f>
        <v>81.919702098849029</v>
      </c>
      <c r="N614" s="384">
        <f>VLOOKUP($A614,'8.Non-elective admissions - CCG'!$D$5:$N$215,7,0)*$H614</f>
        <v>82.204739336492892</v>
      </c>
      <c r="O614" s="384">
        <f>VLOOKUP($A614,'8.Non-elective admissions - CCG'!$D$5:$N$215,8,0)*$H614</f>
        <v>78.761489505754909</v>
      </c>
      <c r="P614" s="384">
        <f>VLOOKUP($A614,'8.Non-elective admissions - CCG'!$D$5:$N$215,9,0)*$H614</f>
        <v>83.903561272850382</v>
      </c>
      <c r="Q614" s="384">
        <f>VLOOKUP($A614,'8.Non-elective admissions - CCG'!$D$5:$N$215,10,0)*$H614</f>
        <v>78.886905890318218</v>
      </c>
      <c r="R614" s="384">
        <f>VLOOKUP($A614,'8.Non-elective admissions - CCG'!$D$5:$Q$215,11,0)*$H614</f>
        <v>82.273148273527426</v>
      </c>
      <c r="S614" s="384">
        <f>VLOOKUP($A614,'8.Non-elective admissions - CCG'!$D$5:$Q$215,12,0)*$H614</f>
        <v>78.829898442789442</v>
      </c>
      <c r="T614" s="384">
        <f>VLOOKUP($A614,'8.Non-elective admissions - CCG'!$D$5:$Q$215,13,0)*$H614</f>
        <v>83.971970209884901</v>
      </c>
      <c r="U614" s="384">
        <f>VLOOKUP($A614,'8.Non-elective admissions - CCG'!$D$5:$Q$215,14,0)*$H614</f>
        <v>78.943913337846993</v>
      </c>
    </row>
    <row r="615" spans="1:21">
      <c r="A615" s="395" t="s">
        <v>503</v>
      </c>
      <c r="B615" s="395" t="s">
        <v>502</v>
      </c>
      <c r="C615" s="395" t="s">
        <v>779</v>
      </c>
      <c r="D615" s="395" t="s">
        <v>453</v>
      </c>
      <c r="E615" s="537">
        <f>COUNTIF($D$5:D615,D615)</f>
        <v>1</v>
      </c>
      <c r="F615" s="537" t="str">
        <f t="shared" si="18"/>
        <v>Telford and Wrekin1</v>
      </c>
      <c r="G615" s="541" t="str">
        <f t="shared" si="19"/>
        <v>NHS Shropshire CCG</v>
      </c>
      <c r="H615" s="546">
        <v>1.7948544346648613E-2</v>
      </c>
      <c r="I615" s="546">
        <v>3.0254095601116124E-2</v>
      </c>
      <c r="J615" s="384">
        <f>VLOOKUP($A615,'8.Non-elective admissions - CCG'!$D$5:$N$215,3,0)*$H615</f>
        <v>121.33215978334462</v>
      </c>
      <c r="K615" s="384">
        <f>VLOOKUP($A615,'8.Non-elective admissions - CCG'!$D$5:$N$215,4,0)*$H615</f>
        <v>118.4424441435342</v>
      </c>
      <c r="L615" s="384">
        <f>VLOOKUP($A615,'8.Non-elective admissions - CCG'!$D$5:$N$215,5,0)*$H615</f>
        <v>131.76026404874747</v>
      </c>
      <c r="M615" s="384">
        <f>VLOOKUP($A615,'8.Non-elective admissions - CCG'!$D$5:$N$215,6,0)*$H615</f>
        <v>128.96029113067027</v>
      </c>
      <c r="N615" s="384">
        <f>VLOOKUP($A615,'8.Non-elective admissions - CCG'!$D$5:$N$215,7,0)*$H615</f>
        <v>129.4090047393365</v>
      </c>
      <c r="O615" s="384">
        <f>VLOOKUP($A615,'8.Non-elective admissions - CCG'!$D$5:$N$215,8,0)*$H615</f>
        <v>123.98854434664862</v>
      </c>
      <c r="P615" s="384">
        <f>VLOOKUP($A615,'8.Non-elective admissions - CCG'!$D$5:$N$215,9,0)*$H615</f>
        <v>132.08333784698715</v>
      </c>
      <c r="Q615" s="384">
        <f>VLOOKUP($A615,'8.Non-elective admissions - CCG'!$D$5:$N$215,10,0)*$H615</f>
        <v>124.18597833446175</v>
      </c>
      <c r="R615" s="384">
        <f>VLOOKUP($A615,'8.Non-elective admissions - CCG'!$D$5:$Q$215,11,0)*$H615</f>
        <v>129.51669600541638</v>
      </c>
      <c r="S615" s="384">
        <f>VLOOKUP($A615,'8.Non-elective admissions - CCG'!$D$5:$Q$215,12,0)*$H615</f>
        <v>124.09623561272851</v>
      </c>
      <c r="T615" s="384">
        <f>VLOOKUP($A615,'8.Non-elective admissions - CCG'!$D$5:$Q$215,13,0)*$H615</f>
        <v>132.19102911306703</v>
      </c>
      <c r="U615" s="384">
        <f>VLOOKUP($A615,'8.Non-elective admissions - CCG'!$D$5:$Q$215,14,0)*$H615</f>
        <v>124.275721056195</v>
      </c>
    </row>
    <row r="616" spans="1:21">
      <c r="A616" s="395" t="s">
        <v>503</v>
      </c>
      <c r="B616" s="395" t="s">
        <v>502</v>
      </c>
      <c r="C616" s="395" t="s">
        <v>799</v>
      </c>
      <c r="D616" s="395" t="s">
        <v>513</v>
      </c>
      <c r="E616" s="537">
        <f>COUNTIF($D$5:D616,D616)</f>
        <v>7</v>
      </c>
      <c r="F616" s="537" t="str">
        <f t="shared" si="18"/>
        <v>Worcestershire7</v>
      </c>
      <c r="G616" s="541" t="str">
        <f t="shared" si="19"/>
        <v>NHS Shropshire CCG</v>
      </c>
      <c r="H616" s="546">
        <v>2.5321597833446179E-3</v>
      </c>
      <c r="I616" s="546">
        <v>1.2685964709952715E-3</v>
      </c>
      <c r="J616" s="384">
        <f>VLOOKUP($A616,'8.Non-elective admissions - CCG'!$D$5:$N$215,3,0)*$H616</f>
        <v>17.117400135409618</v>
      </c>
      <c r="K616" s="384">
        <f>VLOOKUP($A616,'8.Non-elective admissions - CCG'!$D$5:$N$215,4,0)*$H616</f>
        <v>16.709722410291132</v>
      </c>
      <c r="L616" s="384">
        <f>VLOOKUP($A616,'8.Non-elective admissions - CCG'!$D$5:$N$215,5,0)*$H616</f>
        <v>18.588584969532839</v>
      </c>
      <c r="M616" s="384">
        <f>VLOOKUP($A616,'8.Non-elective admissions - CCG'!$D$5:$N$215,6,0)*$H616</f>
        <v>18.19356804333108</v>
      </c>
      <c r="N616" s="384">
        <f>VLOOKUP($A616,'8.Non-elective admissions - CCG'!$D$5:$N$215,7,0)*$H616</f>
        <v>18.256872037914693</v>
      </c>
      <c r="O616" s="384">
        <f>VLOOKUP($A616,'8.Non-elective admissions - CCG'!$D$5:$N$215,8,0)*$H616</f>
        <v>17.492159783344619</v>
      </c>
      <c r="P616" s="384">
        <f>VLOOKUP($A616,'8.Non-elective admissions - CCG'!$D$5:$N$215,9,0)*$H616</f>
        <v>18.634163845633044</v>
      </c>
      <c r="Q616" s="384">
        <f>VLOOKUP($A616,'8.Non-elective admissions - CCG'!$D$5:$N$215,10,0)*$H616</f>
        <v>17.520013540961411</v>
      </c>
      <c r="R616" s="384">
        <f>VLOOKUP($A616,'8.Non-elective admissions - CCG'!$D$5:$Q$215,11,0)*$H616</f>
        <v>18.272064996614763</v>
      </c>
      <c r="S616" s="384">
        <f>VLOOKUP($A616,'8.Non-elective admissions - CCG'!$D$5:$Q$215,12,0)*$H616</f>
        <v>17.507352742044688</v>
      </c>
      <c r="T616" s="384">
        <f>VLOOKUP($A616,'8.Non-elective admissions - CCG'!$D$5:$Q$215,13,0)*$H616</f>
        <v>18.649356804333109</v>
      </c>
      <c r="U616" s="384">
        <f>VLOOKUP($A616,'8.Non-elective admissions - CCG'!$D$5:$Q$215,14,0)*$H616</f>
        <v>17.532674339878135</v>
      </c>
    </row>
    <row r="617" spans="1:21">
      <c r="A617" s="395" t="s">
        <v>506</v>
      </c>
      <c r="B617" s="395" t="s">
        <v>505</v>
      </c>
      <c r="C617" s="395" t="s">
        <v>667</v>
      </c>
      <c r="D617" s="395" t="s">
        <v>86</v>
      </c>
      <c r="E617" s="537">
        <f>COUNTIF($D$5:D617,D617)</f>
        <v>9</v>
      </c>
      <c r="F617" s="537" t="str">
        <f t="shared" si="18"/>
        <v>Buckinghamshire9</v>
      </c>
      <c r="G617" s="541" t="str">
        <f t="shared" si="19"/>
        <v>NHS Slough CCG</v>
      </c>
      <c r="H617" s="546">
        <v>2.8323851557913064E-2</v>
      </c>
      <c r="I617" s="546">
        <v>7.8850810959079122E-3</v>
      </c>
      <c r="J617" s="384">
        <f>VLOOKUP($A617,'8.Non-elective admissions - CCG'!$D$5:$N$215,3,0)*$H617</f>
        <v>98.510355718421636</v>
      </c>
      <c r="K617" s="384">
        <f>VLOOKUP($A617,'8.Non-elective admissions - CCG'!$D$5:$N$215,4,0)*$H617</f>
        <v>106.69594881865851</v>
      </c>
      <c r="L617" s="384">
        <f>VLOOKUP($A617,'8.Non-elective admissions - CCG'!$D$5:$N$215,5,0)*$H617</f>
        <v>118.42202336363452</v>
      </c>
      <c r="M617" s="384">
        <f>VLOOKUP($A617,'8.Non-elective admissions - CCG'!$D$5:$N$215,6,0)*$H617</f>
        <v>109.01850464640738</v>
      </c>
      <c r="N617" s="384">
        <f>VLOOKUP($A617,'8.Non-elective admissions - CCG'!$D$5:$N$215,7,0)*$H617</f>
        <v>97.773935577915893</v>
      </c>
      <c r="O617" s="384">
        <f>VLOOKUP($A617,'8.Non-elective admissions - CCG'!$D$5:$N$215,8,0)*$H617</f>
        <v>98.567003421537464</v>
      </c>
      <c r="P617" s="384">
        <f>VLOOKUP($A617,'8.Non-elective admissions - CCG'!$D$5:$N$215,9,0)*$H617</f>
        <v>107.31907355293259</v>
      </c>
      <c r="Q617" s="384">
        <f>VLOOKUP($A617,'8.Non-elective admissions - CCG'!$D$5:$N$215,10,0)*$H617</f>
        <v>101.68262709290789</v>
      </c>
      <c r="R617" s="384">
        <f>VLOOKUP($A617,'8.Non-elective admissions - CCG'!$D$5:$Q$215,11,0)*$H617</f>
        <v>89.956552547931892</v>
      </c>
      <c r="S617" s="384">
        <f>VLOOKUP($A617,'8.Non-elective admissions - CCG'!$D$5:$Q$215,12,0)*$H617</f>
        <v>90.834591946227192</v>
      </c>
      <c r="T617" s="384">
        <f>VLOOKUP($A617,'8.Non-elective admissions - CCG'!$D$5:$Q$215,13,0)*$H617</f>
        <v>98.793594234000764</v>
      </c>
      <c r="U617" s="384">
        <f>VLOOKUP($A617,'8.Non-elective admissions - CCG'!$D$5:$Q$215,14,0)*$H617</f>
        <v>93.525357844228935</v>
      </c>
    </row>
    <row r="618" spans="1:21">
      <c r="A618" s="395" t="s">
        <v>506</v>
      </c>
      <c r="B618" s="395" t="s">
        <v>505</v>
      </c>
      <c r="C618" s="395" t="s">
        <v>760</v>
      </c>
      <c r="D618" s="395" t="s">
        <v>396</v>
      </c>
      <c r="E618" s="537">
        <f>COUNTIF($D$5:D618,D618)</f>
        <v>2</v>
      </c>
      <c r="F618" s="537" t="str">
        <f t="shared" si="18"/>
        <v>Slough2</v>
      </c>
      <c r="G618" s="541" t="str">
        <f t="shared" si="19"/>
        <v>NHS Slough CCG</v>
      </c>
      <c r="H618" s="546">
        <v>0.966196289622686</v>
      </c>
      <c r="I618" s="546">
        <v>0.92821669843492682</v>
      </c>
      <c r="J618" s="384">
        <f>VLOOKUP($A618,'8.Non-elective admissions - CCG'!$D$5:$N$215,3,0)*$H618</f>
        <v>3360.4306953077021</v>
      </c>
      <c r="K618" s="384">
        <f>VLOOKUP($A618,'8.Non-elective admissions - CCG'!$D$5:$N$215,4,0)*$H618</f>
        <v>3639.6614230086579</v>
      </c>
      <c r="L618" s="384">
        <f>VLOOKUP($A618,'8.Non-elective admissions - CCG'!$D$5:$N$215,5,0)*$H618</f>
        <v>4039.6666869124501</v>
      </c>
      <c r="M618" s="384">
        <f>VLOOKUP($A618,'8.Non-elective admissions - CCG'!$D$5:$N$215,6,0)*$H618</f>
        <v>3718.8895187577186</v>
      </c>
      <c r="N618" s="384">
        <f>VLOOKUP($A618,'8.Non-elective admissions - CCG'!$D$5:$N$215,7,0)*$H618</f>
        <v>3335.3095917775122</v>
      </c>
      <c r="O618" s="384">
        <f>VLOOKUP($A618,'8.Non-elective admissions - CCG'!$D$5:$N$215,8,0)*$H618</f>
        <v>3362.3630878869471</v>
      </c>
      <c r="P618" s="384">
        <f>VLOOKUP($A618,'8.Non-elective admissions - CCG'!$D$5:$N$215,9,0)*$H618</f>
        <v>3660.9177413803573</v>
      </c>
      <c r="Q618" s="384">
        <f>VLOOKUP($A618,'8.Non-elective admissions - CCG'!$D$5:$N$215,10,0)*$H618</f>
        <v>3468.6446797454428</v>
      </c>
      <c r="R618" s="384">
        <f>VLOOKUP($A618,'8.Non-elective admissions - CCG'!$D$5:$Q$215,11,0)*$H618</f>
        <v>3068.6394158416506</v>
      </c>
      <c r="S618" s="384">
        <f>VLOOKUP($A618,'8.Non-elective admissions - CCG'!$D$5:$Q$215,12,0)*$H618</f>
        <v>3098.591500819954</v>
      </c>
      <c r="T618" s="384">
        <f>VLOOKUP($A618,'8.Non-elective admissions - CCG'!$D$5:$Q$215,13,0)*$H618</f>
        <v>3370.0926582039287</v>
      </c>
      <c r="U618" s="384">
        <f>VLOOKUP($A618,'8.Non-elective admissions - CCG'!$D$5:$Q$215,14,0)*$H618</f>
        <v>3190.380148334109</v>
      </c>
    </row>
    <row r="619" spans="1:21">
      <c r="A619" s="395" t="s">
        <v>506</v>
      </c>
      <c r="B619" s="395" t="s">
        <v>505</v>
      </c>
      <c r="C619" s="395" t="s">
        <v>795</v>
      </c>
      <c r="D619" s="395" t="s">
        <v>501</v>
      </c>
      <c r="E619" s="537">
        <f>COUNTIF($D$5:D619,D619)</f>
        <v>5</v>
      </c>
      <c r="F619" s="537" t="str">
        <f t="shared" si="18"/>
        <v>Windsor and Maidenhead5</v>
      </c>
      <c r="G619" s="541" t="str">
        <f t="shared" si="19"/>
        <v>NHS Slough CCG</v>
      </c>
      <c r="H619" s="546">
        <v>5.4798588194008594E-3</v>
      </c>
      <c r="I619" s="546">
        <v>5.2122449241592686E-3</v>
      </c>
      <c r="J619" s="384">
        <f>VLOOKUP($A619,'8.Non-elective admissions - CCG'!$D$5:$N$215,3,0)*$H619</f>
        <v>19.058948973876188</v>
      </c>
      <c r="K619" s="384">
        <f>VLOOKUP($A619,'8.Non-elective admissions - CCG'!$D$5:$N$215,4,0)*$H619</f>
        <v>20.642628172683036</v>
      </c>
      <c r="L619" s="384">
        <f>VLOOKUP($A619,'8.Non-elective admissions - CCG'!$D$5:$N$215,5,0)*$H619</f>
        <v>22.911289723914994</v>
      </c>
      <c r="M619" s="384">
        <f>VLOOKUP($A619,'8.Non-elective admissions - CCG'!$D$5:$N$215,6,0)*$H619</f>
        <v>21.091976595873909</v>
      </c>
      <c r="N619" s="384">
        <f>VLOOKUP($A619,'8.Non-elective admissions - CCG'!$D$5:$N$215,7,0)*$H619</f>
        <v>18.916472644571765</v>
      </c>
      <c r="O619" s="384">
        <f>VLOOKUP($A619,'8.Non-elective admissions - CCG'!$D$5:$N$215,8,0)*$H619</f>
        <v>19.069908691514989</v>
      </c>
      <c r="P619" s="384">
        <f>VLOOKUP($A619,'8.Non-elective admissions - CCG'!$D$5:$N$215,9,0)*$H619</f>
        <v>20.763185066709855</v>
      </c>
      <c r="Q619" s="384">
        <f>VLOOKUP($A619,'8.Non-elective admissions - CCG'!$D$5:$N$215,10,0)*$H619</f>
        <v>19.672693161649086</v>
      </c>
      <c r="R619" s="384">
        <f>VLOOKUP($A619,'8.Non-elective admissions - CCG'!$D$5:$Q$215,11,0)*$H619</f>
        <v>17.404031610417128</v>
      </c>
      <c r="S619" s="384">
        <f>VLOOKUP($A619,'8.Non-elective admissions - CCG'!$D$5:$Q$215,12,0)*$H619</f>
        <v>17.573907233818556</v>
      </c>
      <c r="T619" s="384">
        <f>VLOOKUP($A619,'8.Non-elective admissions - CCG'!$D$5:$Q$215,13,0)*$H619</f>
        <v>19.113747562070198</v>
      </c>
      <c r="U619" s="384">
        <f>VLOOKUP($A619,'8.Non-elective admissions - CCG'!$D$5:$Q$215,14,0)*$H619</f>
        <v>18.094493821661636</v>
      </c>
    </row>
    <row r="620" spans="1:21">
      <c r="A620" s="395" t="s">
        <v>509</v>
      </c>
      <c r="B620" s="395" t="s">
        <v>508</v>
      </c>
      <c r="C620" s="395" t="s">
        <v>656</v>
      </c>
      <c r="D620" s="395" t="s">
        <v>45</v>
      </c>
      <c r="E620" s="537">
        <f>COUNTIF($D$5:D620,D620)</f>
        <v>6</v>
      </c>
      <c r="F620" s="537" t="str">
        <f t="shared" si="18"/>
        <v>Birmingham6</v>
      </c>
      <c r="G620" s="541" t="str">
        <f t="shared" si="19"/>
        <v>NHS Solihull CCG</v>
      </c>
      <c r="H620" s="546">
        <v>0.14868166399600441</v>
      </c>
      <c r="I620" s="546">
        <v>3.0041341218102671E-2</v>
      </c>
      <c r="J620" s="384">
        <f>VLOOKUP($A620,'8.Non-elective admissions - CCG'!$D$5:$N$215,3,0)*$H620</f>
        <v>936.39711984683572</v>
      </c>
      <c r="K620" s="384">
        <f>VLOOKUP($A620,'8.Non-elective admissions - CCG'!$D$5:$N$215,4,0)*$H620</f>
        <v>935.05898487087177</v>
      </c>
      <c r="L620" s="384">
        <f>VLOOKUP($A620,'8.Non-elective admissions - CCG'!$D$5:$N$215,5,0)*$H620</f>
        <v>988.88174723742532</v>
      </c>
      <c r="M620" s="384">
        <f>VLOOKUP($A620,'8.Non-elective admissions - CCG'!$D$5:$N$215,6,0)*$H620</f>
        <v>988.73306557342937</v>
      </c>
      <c r="N620" s="384">
        <f>VLOOKUP($A620,'8.Non-elective admissions - CCG'!$D$5:$N$215,7,0)*$H620</f>
        <v>943.21982957509374</v>
      </c>
      <c r="O620" s="384">
        <f>VLOOKUP($A620,'8.Non-elective admissions - CCG'!$D$5:$N$215,8,0)*$H620</f>
        <v>902.00984000435017</v>
      </c>
      <c r="P620" s="384">
        <f>VLOOKUP($A620,'8.Non-elective admissions - CCG'!$D$5:$N$215,9,0)*$H620</f>
        <v>935.95569583308918</v>
      </c>
      <c r="Q620" s="384">
        <f>VLOOKUP($A620,'8.Non-elective admissions - CCG'!$D$5:$N$215,10,0)*$H620</f>
        <v>882.03347214570465</v>
      </c>
      <c r="R620" s="384">
        <f>VLOOKUP($A620,'8.Non-elective admissions - CCG'!$D$5:$Q$215,11,0)*$H620</f>
        <v>909.91350391670255</v>
      </c>
      <c r="S620" s="384">
        <f>VLOOKUP($A620,'8.Non-elective admissions - CCG'!$D$5:$Q$215,12,0)*$H620</f>
        <v>870.15869294267532</v>
      </c>
      <c r="T620" s="384">
        <f>VLOOKUP($A620,'8.Non-elective admissions - CCG'!$D$5:$Q$215,13,0)*$H620</f>
        <v>902.90587621676389</v>
      </c>
      <c r="U620" s="384">
        <f>VLOOKUP($A620,'8.Non-elective admissions - CCG'!$D$5:$Q$215,14,0)*$H620</f>
        <v>850.88771677925558</v>
      </c>
    </row>
    <row r="621" spans="1:21">
      <c r="A621" s="395" t="s">
        <v>509</v>
      </c>
      <c r="B621" s="395" t="s">
        <v>508</v>
      </c>
      <c r="C621" s="395" t="s">
        <v>761</v>
      </c>
      <c r="D621" s="395" t="s">
        <v>399</v>
      </c>
      <c r="E621" s="537">
        <f>COUNTIF($D$5:D621,D621)</f>
        <v>4</v>
      </c>
      <c r="F621" s="537" t="str">
        <f t="shared" si="18"/>
        <v>Solihull4</v>
      </c>
      <c r="G621" s="541" t="str">
        <f t="shared" si="19"/>
        <v>NHS Solihull CCG</v>
      </c>
      <c r="H621" s="546">
        <v>0.84012652695981527</v>
      </c>
      <c r="I621" s="546">
        <v>0.91754700170915304</v>
      </c>
      <c r="J621" s="384">
        <f>VLOOKUP($A621,'8.Non-elective admissions - CCG'!$D$5:$N$215,3,0)*$H621</f>
        <v>5291.1168667929169</v>
      </c>
      <c r="K621" s="384">
        <f>VLOOKUP($A621,'8.Non-elective admissions - CCG'!$D$5:$N$215,4,0)*$H621</f>
        <v>5283.555728050278</v>
      </c>
      <c r="L621" s="384">
        <f>VLOOKUP($A621,'8.Non-elective admissions - CCG'!$D$5:$N$215,5,0)*$H621</f>
        <v>5587.6815308097312</v>
      </c>
      <c r="M621" s="384">
        <f>VLOOKUP($A621,'8.Non-elective admissions - CCG'!$D$5:$N$215,6,0)*$H621</f>
        <v>5586.8414042827717</v>
      </c>
      <c r="N621" s="384">
        <f>VLOOKUP($A621,'8.Non-elective admissions - CCG'!$D$5:$N$215,7,0)*$H621</f>
        <v>5329.6686241139159</v>
      </c>
      <c r="O621" s="384">
        <f>VLOOKUP($A621,'8.Non-elective admissions - CCG'!$D$5:$N$215,8,0)*$H621</f>
        <v>5096.8113605911631</v>
      </c>
      <c r="P621" s="384">
        <f>VLOOKUP($A621,'8.Non-elective admissions - CCG'!$D$5:$N$215,9,0)*$H621</f>
        <v>5288.6225980739737</v>
      </c>
      <c r="Q621" s="384">
        <f>VLOOKUP($A621,'8.Non-elective admissions - CCG'!$D$5:$N$215,10,0)*$H621</f>
        <v>4983.9347885963371</v>
      </c>
      <c r="R621" s="384">
        <f>VLOOKUP($A621,'8.Non-elective admissions - CCG'!$D$5:$Q$215,11,0)*$H621</f>
        <v>5141.4710552332717</v>
      </c>
      <c r="S621" s="384">
        <f>VLOOKUP($A621,'8.Non-elective admissions - CCG'!$D$5:$Q$215,12,0)*$H621</f>
        <v>4916.8362860498237</v>
      </c>
      <c r="T621" s="384">
        <f>VLOOKUP($A621,'8.Non-elective admissions - CCG'!$D$5:$Q$215,13,0)*$H621</f>
        <v>5101.8744179375317</v>
      </c>
      <c r="U621" s="384">
        <f>VLOOKUP($A621,'8.Non-elective admissions - CCG'!$D$5:$Q$215,14,0)*$H621</f>
        <v>4807.9455335510202</v>
      </c>
    </row>
    <row r="622" spans="1:21">
      <c r="A622" s="395" t="s">
        <v>509</v>
      </c>
      <c r="B622" s="395" t="s">
        <v>508</v>
      </c>
      <c r="C622" s="395" t="s">
        <v>789</v>
      </c>
      <c r="D622" s="395" t="s">
        <v>483</v>
      </c>
      <c r="E622" s="537">
        <f>COUNTIF($D$5:D622,D622)</f>
        <v>7</v>
      </c>
      <c r="F622" s="537" t="str">
        <f t="shared" si="18"/>
        <v>Warwickshire7</v>
      </c>
      <c r="G622" s="541" t="str">
        <f t="shared" si="19"/>
        <v>NHS Solihull CCG</v>
      </c>
      <c r="H622" s="546">
        <v>6.2888893513412276E-3</v>
      </c>
      <c r="I622" s="546">
        <v>2.6298934118646313E-3</v>
      </c>
      <c r="J622" s="384">
        <f>VLOOKUP($A622,'8.Non-elective admissions - CCG'!$D$5:$N$215,3,0)*$H622</f>
        <v>39.607425134747054</v>
      </c>
      <c r="K622" s="384">
        <f>VLOOKUP($A622,'8.Non-elective admissions - CCG'!$D$5:$N$215,4,0)*$H622</f>
        <v>39.550825130584983</v>
      </c>
      <c r="L622" s="384">
        <f>VLOOKUP($A622,'8.Non-elective admissions - CCG'!$D$5:$N$215,5,0)*$H622</f>
        <v>41.827403075770505</v>
      </c>
      <c r="M622" s="384">
        <f>VLOOKUP($A622,'8.Non-elective admissions - CCG'!$D$5:$N$215,6,0)*$H622</f>
        <v>41.821114186419166</v>
      </c>
      <c r="N622" s="384">
        <f>VLOOKUP($A622,'8.Non-elective admissions - CCG'!$D$5:$N$215,7,0)*$H622</f>
        <v>39.896009923241799</v>
      </c>
      <c r="O622" s="384">
        <f>VLOOKUP($A622,'8.Non-elective admissions - CCG'!$D$5:$N$215,8,0)*$H622</f>
        <v>38.152922997692613</v>
      </c>
      <c r="P622" s="384">
        <f>VLOOKUP($A622,'8.Non-elective admissions - CCG'!$D$5:$N$215,9,0)*$H622</f>
        <v>39.588753923349039</v>
      </c>
      <c r="Q622" s="384">
        <f>VLOOKUP($A622,'8.Non-elective admissions - CCG'!$D$5:$N$215,10,0)*$H622</f>
        <v>37.307968995105668</v>
      </c>
      <c r="R622" s="384">
        <f>VLOOKUP($A622,'8.Non-elective admissions - CCG'!$D$5:$Q$215,11,0)*$H622</f>
        <v>38.487229639675768</v>
      </c>
      <c r="S622" s="384">
        <f>VLOOKUP($A622,'8.Non-elective admissions - CCG'!$D$5:$Q$215,12,0)*$H622</f>
        <v>36.805693391831106</v>
      </c>
      <c r="T622" s="384">
        <f>VLOOKUP($A622,'8.Non-elective admissions - CCG'!$D$5:$Q$215,13,0)*$H622</f>
        <v>38.190823250105822</v>
      </c>
      <c r="U622" s="384">
        <f>VLOOKUP($A622,'8.Non-elective admissions - CCG'!$D$5:$Q$215,14,0)*$H622</f>
        <v>35.990575820996419</v>
      </c>
    </row>
    <row r="623" spans="1:21">
      <c r="A623" s="395" t="s">
        <v>509</v>
      </c>
      <c r="B623" s="395" t="s">
        <v>508</v>
      </c>
      <c r="C623" s="395" t="s">
        <v>799</v>
      </c>
      <c r="D623" s="395" t="s">
        <v>513</v>
      </c>
      <c r="E623" s="537">
        <f>COUNTIF($D$5:D623,D623)</f>
        <v>8</v>
      </c>
      <c r="F623" s="537" t="str">
        <f t="shared" si="18"/>
        <v>Worcestershire8</v>
      </c>
      <c r="G623" s="541" t="str">
        <f t="shared" si="19"/>
        <v>NHS Solihull CCG</v>
      </c>
      <c r="H623" s="546">
        <v>4.9029196928391571E-3</v>
      </c>
      <c r="I623" s="546">
        <v>1.9978698433588634E-3</v>
      </c>
      <c r="J623" s="384">
        <f>VLOOKUP($A623,'8.Non-elective admissions - CCG'!$D$5:$N$215,3,0)*$H623</f>
        <v>30.878588225501012</v>
      </c>
      <c r="K623" s="384">
        <f>VLOOKUP($A623,'8.Non-elective admissions - CCG'!$D$5:$N$215,4,0)*$H623</f>
        <v>30.83446194826546</v>
      </c>
      <c r="L623" s="384">
        <f>VLOOKUP($A623,'8.Non-elective admissions - CCG'!$D$5:$N$215,5,0)*$H623</f>
        <v>32.609318877073235</v>
      </c>
      <c r="M623" s="384">
        <f>VLOOKUP($A623,'8.Non-elective admissions - CCG'!$D$5:$N$215,6,0)*$H623</f>
        <v>32.604415957380397</v>
      </c>
      <c r="N623" s="384">
        <f>VLOOKUP($A623,'8.Non-elective admissions - CCG'!$D$5:$N$215,7,0)*$H623</f>
        <v>31.103573586749729</v>
      </c>
      <c r="O623" s="384">
        <f>VLOOKUP($A623,'8.Non-elective admissions - CCG'!$D$5:$N$215,8,0)*$H623</f>
        <v>29.744634871794769</v>
      </c>
      <c r="P623" s="384">
        <f>VLOOKUP($A623,'8.Non-elective admissions - CCG'!$D$5:$N$215,9,0)*$H623</f>
        <v>30.864031847587803</v>
      </c>
      <c r="Q623" s="384">
        <f>VLOOKUP($A623,'8.Non-elective admissions - CCG'!$D$5:$N$215,10,0)*$H623</f>
        <v>29.085895086852734</v>
      </c>
      <c r="R623" s="384">
        <f>VLOOKUP($A623,'8.Non-elective admissions - CCG'!$D$5:$Q$215,11,0)*$H623</f>
        <v>30.0052657283508</v>
      </c>
      <c r="S623" s="384">
        <f>VLOOKUP($A623,'8.Non-elective admissions - CCG'!$D$5:$Q$215,12,0)*$H623</f>
        <v>28.694312915669784</v>
      </c>
      <c r="T623" s="384">
        <f>VLOOKUP($A623,'8.Non-elective admissions - CCG'!$D$5:$Q$215,13,0)*$H623</f>
        <v>29.774182520598714</v>
      </c>
      <c r="U623" s="384">
        <f>VLOOKUP($A623,'8.Non-elective admissions - CCG'!$D$5:$Q$215,14,0)*$H623</f>
        <v>28.058834094727853</v>
      </c>
    </row>
    <row r="624" spans="1:21">
      <c r="A624" s="395" t="s">
        <v>512</v>
      </c>
      <c r="B624" s="395" t="s">
        <v>511</v>
      </c>
      <c r="C624" s="395" t="s">
        <v>653</v>
      </c>
      <c r="D624" s="395" t="s">
        <v>29</v>
      </c>
      <c r="E624" s="537">
        <f>COUNTIF($D$5:D624,D624)</f>
        <v>3</v>
      </c>
      <c r="F624" s="537" t="str">
        <f t="shared" si="18"/>
        <v>Bath and North East Somerset3</v>
      </c>
      <c r="G624" s="541" t="str">
        <f t="shared" si="19"/>
        <v>NHS Somerset CCG</v>
      </c>
      <c r="H624" s="546">
        <v>1.8296375979678728E-3</v>
      </c>
      <c r="I624" s="546">
        <v>5.2969594824472796E-3</v>
      </c>
      <c r="J624" s="384">
        <f>VLOOKUP($A624,'8.Non-elective admissions - CCG'!$D$5:$N$215,3,0)*$H624</f>
        <v>26.304699745984106</v>
      </c>
      <c r="K624" s="384">
        <f>VLOOKUP($A624,'8.Non-elective admissions - CCG'!$D$5:$N$215,4,0)*$H624</f>
        <v>26.996302758015961</v>
      </c>
      <c r="L624" s="384">
        <f>VLOOKUP($A624,'8.Non-elective admissions - CCG'!$D$5:$N$215,5,0)*$H624</f>
        <v>26.193091852508065</v>
      </c>
      <c r="M624" s="384">
        <f>VLOOKUP($A624,'8.Non-elective admissions - CCG'!$D$5:$N$215,6,0)*$H624</f>
        <v>26.813338998219177</v>
      </c>
      <c r="N624" s="384">
        <f>VLOOKUP($A624,'8.Non-elective admissions - CCG'!$D$5:$N$215,7,0)*$H624</f>
        <v>30.446999267783372</v>
      </c>
      <c r="O624" s="384">
        <f>VLOOKUP($A624,'8.Non-elective admissions - CCG'!$D$5:$N$215,8,0)*$H624</f>
        <v>30.470784556556954</v>
      </c>
      <c r="P624" s="384">
        <f>VLOOKUP($A624,'8.Non-elective admissions - CCG'!$D$5:$N$215,9,0)*$H624</f>
        <v>31.780805076701949</v>
      </c>
      <c r="Q624" s="384">
        <f>VLOOKUP($A624,'8.Non-elective admissions - CCG'!$D$5:$N$215,10,0)*$H624</f>
        <v>30.750719109046038</v>
      </c>
      <c r="R624" s="384">
        <f>VLOOKUP($A624,'8.Non-elective admissions - CCG'!$D$5:$Q$215,11,0)*$H624</f>
        <v>30.373813763864657</v>
      </c>
      <c r="S624" s="384">
        <f>VLOOKUP($A624,'8.Non-elective admissions - CCG'!$D$5:$Q$215,12,0)*$H624</f>
        <v>30.399428690236206</v>
      </c>
      <c r="T624" s="384">
        <f>VLOOKUP($A624,'8.Non-elective admissions - CCG'!$D$5:$Q$215,13,0)*$H624</f>
        <v>31.702130659989333</v>
      </c>
      <c r="U624" s="384">
        <f>VLOOKUP($A624,'8.Non-elective admissions - CCG'!$D$5:$Q$215,14,0)*$H624</f>
        <v>30.70497816909684</v>
      </c>
    </row>
    <row r="625" spans="1:21">
      <c r="A625" s="395" t="s">
        <v>512</v>
      </c>
      <c r="B625" s="395" t="s">
        <v>511</v>
      </c>
      <c r="C625" s="395" t="s">
        <v>684</v>
      </c>
      <c r="D625" s="395" t="s">
        <v>150</v>
      </c>
      <c r="E625" s="537">
        <f>COUNTIF($D$5:D625,D625)</f>
        <v>4</v>
      </c>
      <c r="F625" s="537" t="str">
        <f t="shared" si="18"/>
        <v>Devon4</v>
      </c>
      <c r="G625" s="541" t="str">
        <f t="shared" si="19"/>
        <v>NHS Somerset CCG</v>
      </c>
      <c r="H625" s="546">
        <v>4.1492275566563912E-3</v>
      </c>
      <c r="I625" s="546">
        <v>2.9181061173421965E-3</v>
      </c>
      <c r="J625" s="384">
        <f>VLOOKUP($A625,'8.Non-elective admissions - CCG'!$D$5:$N$215,3,0)*$H625</f>
        <v>59.653444582048934</v>
      </c>
      <c r="K625" s="384">
        <f>VLOOKUP($A625,'8.Non-elective admissions - CCG'!$D$5:$N$215,4,0)*$H625</f>
        <v>61.221852598465055</v>
      </c>
      <c r="L625" s="384">
        <f>VLOOKUP($A625,'8.Non-elective admissions - CCG'!$D$5:$N$215,5,0)*$H625</f>
        <v>59.400341701092898</v>
      </c>
      <c r="M625" s="384">
        <f>VLOOKUP($A625,'8.Non-elective admissions - CCG'!$D$5:$N$215,6,0)*$H625</f>
        <v>60.806929842799413</v>
      </c>
      <c r="N625" s="384">
        <f>VLOOKUP($A625,'8.Non-elective admissions - CCG'!$D$5:$N$215,7,0)*$H625</f>
        <v>69.04729577031901</v>
      </c>
      <c r="O625" s="384">
        <f>VLOOKUP($A625,'8.Non-elective admissions - CCG'!$D$5:$N$215,8,0)*$H625</f>
        <v>69.101235728555537</v>
      </c>
      <c r="P625" s="384">
        <f>VLOOKUP($A625,'8.Non-elective admissions - CCG'!$D$5:$N$215,9,0)*$H625</f>
        <v>72.07208265912152</v>
      </c>
      <c r="Q625" s="384">
        <f>VLOOKUP($A625,'8.Non-elective admissions - CCG'!$D$5:$N$215,10,0)*$H625</f>
        <v>69.736067544723966</v>
      </c>
      <c r="R625" s="384">
        <f>VLOOKUP($A625,'8.Non-elective admissions - CCG'!$D$5:$Q$215,11,0)*$H625</f>
        <v>68.881326668052751</v>
      </c>
      <c r="S625" s="384">
        <f>VLOOKUP($A625,'8.Non-elective admissions - CCG'!$D$5:$Q$215,12,0)*$H625</f>
        <v>68.939415853845944</v>
      </c>
      <c r="T625" s="384">
        <f>VLOOKUP($A625,'8.Non-elective admissions - CCG'!$D$5:$Q$215,13,0)*$H625</f>
        <v>71.893665874185288</v>
      </c>
      <c r="U625" s="384">
        <f>VLOOKUP($A625,'8.Non-elective admissions - CCG'!$D$5:$Q$215,14,0)*$H625</f>
        <v>69.632336855807552</v>
      </c>
    </row>
    <row r="626" spans="1:21">
      <c r="A626" s="395" t="s">
        <v>512</v>
      </c>
      <c r="B626" s="395" t="s">
        <v>511</v>
      </c>
      <c r="C626" s="395" t="s">
        <v>686</v>
      </c>
      <c r="D626" s="395" t="s">
        <v>158</v>
      </c>
      <c r="E626" s="537">
        <f>COUNTIF($D$5:D626,D626)</f>
        <v>2</v>
      </c>
      <c r="F626" s="537" t="str">
        <f t="shared" si="18"/>
        <v>Dorset2</v>
      </c>
      <c r="G626" s="541" t="str">
        <f t="shared" si="19"/>
        <v>NHS Somerset CCG</v>
      </c>
      <c r="H626" s="546">
        <v>5.7745676757997881E-3</v>
      </c>
      <c r="I626" s="546">
        <v>7.4477040132258539E-3</v>
      </c>
      <c r="J626" s="384">
        <f>VLOOKUP($A626,'8.Non-elective admissions - CCG'!$D$5:$N$215,3,0)*$H626</f>
        <v>83.020959474973552</v>
      </c>
      <c r="K626" s="384">
        <f>VLOOKUP($A626,'8.Non-elective admissions - CCG'!$D$5:$N$215,4,0)*$H626</f>
        <v>85.203746056425871</v>
      </c>
      <c r="L626" s="384">
        <f>VLOOKUP($A626,'8.Non-elective admissions - CCG'!$D$5:$N$215,5,0)*$H626</f>
        <v>82.668710846749761</v>
      </c>
      <c r="M626" s="384">
        <f>VLOOKUP($A626,'8.Non-elective admissions - CCG'!$D$5:$N$215,6,0)*$H626</f>
        <v>84.626289288845896</v>
      </c>
      <c r="N626" s="384">
        <f>VLOOKUP($A626,'8.Non-elective admissions - CCG'!$D$5:$N$215,7,0)*$H626</f>
        <v>96.09458069298428</v>
      </c>
      <c r="O626" s="384">
        <f>VLOOKUP($A626,'8.Non-elective admissions - CCG'!$D$5:$N$215,8,0)*$H626</f>
        <v>96.16965007276967</v>
      </c>
      <c r="P626" s="384">
        <f>VLOOKUP($A626,'8.Non-elective admissions - CCG'!$D$5:$N$215,9,0)*$H626</f>
        <v>100.30424052864232</v>
      </c>
      <c r="Q626" s="384">
        <f>VLOOKUP($A626,'8.Non-elective admissions - CCG'!$D$5:$N$215,10,0)*$H626</f>
        <v>97.053158927167033</v>
      </c>
      <c r="R626" s="384">
        <f>VLOOKUP($A626,'8.Non-elective admissions - CCG'!$D$5:$Q$215,11,0)*$H626</f>
        <v>95.863597985952282</v>
      </c>
      <c r="S626" s="384">
        <f>VLOOKUP($A626,'8.Non-elective admissions - CCG'!$D$5:$Q$215,12,0)*$H626</f>
        <v>95.944441933413472</v>
      </c>
      <c r="T626" s="384">
        <f>VLOOKUP($A626,'8.Non-elective admissions - CCG'!$D$5:$Q$215,13,0)*$H626</f>
        <v>100.05593411858293</v>
      </c>
      <c r="U626" s="384">
        <f>VLOOKUP($A626,'8.Non-elective admissions - CCG'!$D$5:$Q$215,14,0)*$H626</f>
        <v>96.908794735272039</v>
      </c>
    </row>
    <row r="627" spans="1:21">
      <c r="A627" s="395" t="s">
        <v>512</v>
      </c>
      <c r="B627" s="395" t="s">
        <v>511</v>
      </c>
      <c r="C627" s="395" t="s">
        <v>736</v>
      </c>
      <c r="D627" s="395" t="s">
        <v>324</v>
      </c>
      <c r="E627" s="537">
        <f>COUNTIF($D$5:D627,D627)</f>
        <v>4</v>
      </c>
      <c r="F627" s="537" t="str">
        <f t="shared" si="18"/>
        <v>North Somerset4</v>
      </c>
      <c r="G627" s="541" t="str">
        <f t="shared" si="19"/>
        <v>NHS Somerset CCG</v>
      </c>
      <c r="H627" s="546">
        <v>0</v>
      </c>
      <c r="I627" s="546">
        <v>1.9664957138702576E-3</v>
      </c>
      <c r="J627" s="384">
        <f>VLOOKUP($A627,'8.Non-elective admissions - CCG'!$D$5:$N$215,3,0)*$H627</f>
        <v>0</v>
      </c>
      <c r="K627" s="384">
        <f>VLOOKUP($A627,'8.Non-elective admissions - CCG'!$D$5:$N$215,4,0)*$H627</f>
        <v>0</v>
      </c>
      <c r="L627" s="384">
        <f>VLOOKUP($A627,'8.Non-elective admissions - CCG'!$D$5:$N$215,5,0)*$H627</f>
        <v>0</v>
      </c>
      <c r="M627" s="384">
        <f>VLOOKUP($A627,'8.Non-elective admissions - CCG'!$D$5:$N$215,6,0)*$H627</f>
        <v>0</v>
      </c>
      <c r="N627" s="384">
        <f>VLOOKUP($A627,'8.Non-elective admissions - CCG'!$D$5:$N$215,7,0)*$H627</f>
        <v>0</v>
      </c>
      <c r="O627" s="384">
        <f>VLOOKUP($A627,'8.Non-elective admissions - CCG'!$D$5:$N$215,8,0)*$H627</f>
        <v>0</v>
      </c>
      <c r="P627" s="384">
        <f>VLOOKUP($A627,'8.Non-elective admissions - CCG'!$D$5:$N$215,9,0)*$H627</f>
        <v>0</v>
      </c>
      <c r="Q627" s="384">
        <f>VLOOKUP($A627,'8.Non-elective admissions - CCG'!$D$5:$N$215,10,0)*$H627</f>
        <v>0</v>
      </c>
      <c r="R627" s="384">
        <f>VLOOKUP($A627,'8.Non-elective admissions - CCG'!$D$5:$Q$215,11,0)*$H627</f>
        <v>0</v>
      </c>
      <c r="S627" s="384">
        <f>VLOOKUP($A627,'8.Non-elective admissions - CCG'!$D$5:$Q$215,12,0)*$H627</f>
        <v>0</v>
      </c>
      <c r="T627" s="384">
        <f>VLOOKUP($A627,'8.Non-elective admissions - CCG'!$D$5:$Q$215,13,0)*$H627</f>
        <v>0</v>
      </c>
      <c r="U627" s="384">
        <f>VLOOKUP($A627,'8.Non-elective admissions - CCG'!$D$5:$Q$215,14,0)*$H627</f>
        <v>0</v>
      </c>
    </row>
    <row r="628" spans="1:21">
      <c r="A628" s="395" t="s">
        <v>512</v>
      </c>
      <c r="B628" s="395" t="s">
        <v>511</v>
      </c>
      <c r="C628" s="395" t="s">
        <v>762</v>
      </c>
      <c r="D628" s="395" t="s">
        <v>402</v>
      </c>
      <c r="E628" s="537">
        <f>COUNTIF($D$5:D628,D628)</f>
        <v>5</v>
      </c>
      <c r="F628" s="537" t="str">
        <f t="shared" si="18"/>
        <v>Somerset5</v>
      </c>
      <c r="G628" s="541" t="str">
        <f t="shared" si="19"/>
        <v>NHS Somerset CCG</v>
      </c>
      <c r="H628" s="546">
        <v>0.9848494436057601</v>
      </c>
      <c r="I628" s="546">
        <v>0.97357382475367316</v>
      </c>
      <c r="J628" s="384">
        <f>VLOOKUP($A628,'8.Non-elective admissions - CCG'!$D$5:$N$215,3,0)*$H628</f>
        <v>14159.180450720012</v>
      </c>
      <c r="K628" s="384">
        <f>VLOOKUP($A628,'8.Non-elective admissions - CCG'!$D$5:$N$215,4,0)*$H628</f>
        <v>14531.45354040299</v>
      </c>
      <c r="L628" s="384">
        <f>VLOOKUP($A628,'8.Non-elective admissions - CCG'!$D$5:$N$215,5,0)*$H628</f>
        <v>14099.104634660061</v>
      </c>
      <c r="M628" s="384">
        <f>VLOOKUP($A628,'8.Non-elective admissions - CCG'!$D$5:$N$215,6,0)*$H628</f>
        <v>14432.968596042414</v>
      </c>
      <c r="N628" s="384">
        <f>VLOOKUP($A628,'8.Non-elective admissions - CCG'!$D$5:$N$215,7,0)*$H628</f>
        <v>16388.879591043453</v>
      </c>
      <c r="O628" s="384">
        <f>VLOOKUP($A628,'8.Non-elective admissions - CCG'!$D$5:$N$215,8,0)*$H628</f>
        <v>16401.682633810327</v>
      </c>
      <c r="P628" s="384">
        <f>VLOOKUP($A628,'8.Non-elective admissions - CCG'!$D$5:$N$215,9,0)*$H628</f>
        <v>17106.834835432051</v>
      </c>
      <c r="Q628" s="384">
        <f>VLOOKUP($A628,'8.Non-elective admissions - CCG'!$D$5:$N$215,10,0)*$H628</f>
        <v>16552.364598682008</v>
      </c>
      <c r="R628" s="384">
        <f>VLOOKUP($A628,'8.Non-elective admissions - CCG'!$D$5:$Q$215,11,0)*$H628</f>
        <v>16349.485613299223</v>
      </c>
      <c r="S628" s="384">
        <f>VLOOKUP($A628,'8.Non-elective admissions - CCG'!$D$5:$Q$215,12,0)*$H628</f>
        <v>16363.273505509704</v>
      </c>
      <c r="T628" s="384">
        <f>VLOOKUP($A628,'8.Non-elective admissions - CCG'!$D$5:$Q$215,13,0)*$H628</f>
        <v>17064.486309357006</v>
      </c>
      <c r="U628" s="384">
        <f>VLOOKUP($A628,'8.Non-elective admissions - CCG'!$D$5:$Q$215,14,0)*$H628</f>
        <v>16527.743362591867</v>
      </c>
    </row>
    <row r="629" spans="1:21">
      <c r="A629" s="395" t="s">
        <v>512</v>
      </c>
      <c r="B629" s="395" t="s">
        <v>511</v>
      </c>
      <c r="C629" s="395" t="s">
        <v>794</v>
      </c>
      <c r="D629" s="395" t="s">
        <v>498</v>
      </c>
      <c r="E629" s="537">
        <f>COUNTIF($D$5:D629,D629)</f>
        <v>5</v>
      </c>
      <c r="F629" s="537" t="str">
        <f t="shared" si="18"/>
        <v>Wiltshire5</v>
      </c>
      <c r="G629" s="541" t="str">
        <f t="shared" si="19"/>
        <v>NHS Somerset CCG</v>
      </c>
      <c r="H629" s="546">
        <v>3.3971235638158427E-3</v>
      </c>
      <c r="I629" s="546">
        <v>3.9283324970730889E-3</v>
      </c>
      <c r="J629" s="384">
        <f>VLOOKUP($A629,'8.Non-elective admissions - CCG'!$D$5:$N$215,3,0)*$H629</f>
        <v>48.840445476980371</v>
      </c>
      <c r="K629" s="384">
        <f>VLOOKUP($A629,'8.Non-elective admissions - CCG'!$D$5:$N$215,4,0)*$H629</f>
        <v>50.12455818410276</v>
      </c>
      <c r="L629" s="384">
        <f>VLOOKUP($A629,'8.Non-elective admissions - CCG'!$D$5:$N$215,5,0)*$H629</f>
        <v>48.633220939587602</v>
      </c>
      <c r="M629" s="384">
        <f>VLOOKUP($A629,'8.Non-elective admissions - CCG'!$D$5:$N$215,6,0)*$H629</f>
        <v>49.784845827721178</v>
      </c>
      <c r="N629" s="384">
        <f>VLOOKUP($A629,'8.Non-elective admissions - CCG'!$D$5:$N$215,7,0)*$H629</f>
        <v>56.531533225459441</v>
      </c>
      <c r="O629" s="384">
        <f>VLOOKUP($A629,'8.Non-elective admissions - CCG'!$D$5:$N$215,8,0)*$H629</f>
        <v>56.575695831789041</v>
      </c>
      <c r="P629" s="384">
        <f>VLOOKUP($A629,'8.Non-elective admissions - CCG'!$D$5:$N$215,9,0)*$H629</f>
        <v>59.008036303481191</v>
      </c>
      <c r="Q629" s="384">
        <f>VLOOKUP($A629,'8.Non-elective admissions - CCG'!$D$5:$N$215,10,0)*$H629</f>
        <v>57.095455737052866</v>
      </c>
      <c r="R629" s="384">
        <f>VLOOKUP($A629,'8.Non-elective admissions - CCG'!$D$5:$Q$215,11,0)*$H629</f>
        <v>56.395648282906805</v>
      </c>
      <c r="S629" s="384">
        <f>VLOOKUP($A629,'8.Non-elective admissions - CCG'!$D$5:$Q$215,12,0)*$H629</f>
        <v>56.443208012800227</v>
      </c>
      <c r="T629" s="384">
        <f>VLOOKUP($A629,'8.Non-elective admissions - CCG'!$D$5:$Q$215,13,0)*$H629</f>
        <v>58.861959990237104</v>
      </c>
      <c r="U629" s="384">
        <f>VLOOKUP($A629,'8.Non-elective admissions - CCG'!$D$5:$Q$215,14,0)*$H629</f>
        <v>57.010527647957474</v>
      </c>
    </row>
    <row r="630" spans="1:21">
      <c r="A630" s="395" t="s">
        <v>515</v>
      </c>
      <c r="B630" s="395" t="s">
        <v>514</v>
      </c>
      <c r="C630" s="395" t="s">
        <v>673</v>
      </c>
      <c r="D630" s="395" t="s">
        <v>110</v>
      </c>
      <c r="E630" s="537">
        <f>COUNTIF($D$5:D630,D630)</f>
        <v>5</v>
      </c>
      <c r="F630" s="537" t="str">
        <f t="shared" si="18"/>
        <v>Cheshire East5</v>
      </c>
      <c r="G630" s="541" t="str">
        <f t="shared" si="19"/>
        <v>NHS South Cheshire CCG</v>
      </c>
      <c r="H630" s="546">
        <v>0.98632197441285308</v>
      </c>
      <c r="I630" s="546">
        <v>0.45065597273665609</v>
      </c>
      <c r="J630" s="384">
        <f>VLOOKUP($A630,'8.Non-elective admissions - CCG'!$D$5:$N$215,3,0)*$H630</f>
        <v>3960.0827272676052</v>
      </c>
      <c r="K630" s="384">
        <f>VLOOKUP($A630,'8.Non-elective admissions - CCG'!$D$5:$N$215,4,0)*$H630</f>
        <v>3821.9976508498057</v>
      </c>
      <c r="L630" s="384">
        <f>VLOOKUP($A630,'8.Non-elective admissions - CCG'!$D$5:$N$215,5,0)*$H630</f>
        <v>3912.7392724957881</v>
      </c>
      <c r="M630" s="384">
        <f>VLOOKUP($A630,'8.Non-elective admissions - CCG'!$D$5:$N$215,6,0)*$H630</f>
        <v>3797.3396014894843</v>
      </c>
      <c r="N630" s="384">
        <f>VLOOKUP($A630,'8.Non-elective admissions - CCG'!$D$5:$N$215,7,0)*$H630</f>
        <v>5470.1416700936834</v>
      </c>
      <c r="O630" s="384">
        <f>VLOOKUP($A630,'8.Non-elective admissions - CCG'!$D$5:$N$215,8,0)*$H630</f>
        <v>5289.6447487761307</v>
      </c>
      <c r="P630" s="384">
        <f>VLOOKUP($A630,'8.Non-elective admissions - CCG'!$D$5:$N$215,9,0)*$H630</f>
        <v>5606.254102562657</v>
      </c>
      <c r="Q630" s="384">
        <f>VLOOKUP($A630,'8.Non-elective admissions - CCG'!$D$5:$N$215,10,0)*$H630</f>
        <v>5386.3043022685906</v>
      </c>
      <c r="R630" s="384">
        <f>VLOOKUP($A630,'8.Non-elective admissions - CCG'!$D$5:$Q$215,11,0)*$H630</f>
        <v>5306.4122223411496</v>
      </c>
      <c r="S630" s="384">
        <f>VLOOKUP($A630,'8.Non-elective admissions - CCG'!$D$5:$Q$215,12,0)*$H630</f>
        <v>5082.5171341494315</v>
      </c>
      <c r="T630" s="384">
        <f>VLOOKUP($A630,'8.Non-elective admissions - CCG'!$D$5:$Q$215,13,0)*$H630</f>
        <v>5367.5641847547467</v>
      </c>
      <c r="U630" s="384">
        <f>VLOOKUP($A630,'8.Non-elective admissions - CCG'!$D$5:$Q$215,14,0)*$H630</f>
        <v>5157.4776042048088</v>
      </c>
    </row>
    <row r="631" spans="1:21">
      <c r="A631" s="395" t="s">
        <v>515</v>
      </c>
      <c r="B631" s="395" t="s">
        <v>514</v>
      </c>
      <c r="C631" s="395" t="s">
        <v>674</v>
      </c>
      <c r="D631" s="395" t="s">
        <v>114</v>
      </c>
      <c r="E631" s="537">
        <f>COUNTIF($D$5:D631,D631)</f>
        <v>3</v>
      </c>
      <c r="F631" s="537" t="str">
        <f t="shared" si="18"/>
        <v>Cheshire West and Chester3</v>
      </c>
      <c r="G631" s="541" t="str">
        <f t="shared" si="19"/>
        <v>NHS South Cheshire CCG</v>
      </c>
      <c r="H631" s="546">
        <v>4.625065488899279E-3</v>
      </c>
      <c r="I631" s="546">
        <v>2.3515461200921137E-3</v>
      </c>
      <c r="J631" s="384">
        <f>VLOOKUP($A631,'8.Non-elective admissions - CCG'!$D$5:$N$215,3,0)*$H631</f>
        <v>18.569637937930604</v>
      </c>
      <c r="K631" s="384">
        <f>VLOOKUP($A631,'8.Non-elective admissions - CCG'!$D$5:$N$215,4,0)*$H631</f>
        <v>17.922128769484704</v>
      </c>
      <c r="L631" s="384">
        <f>VLOOKUP($A631,'8.Non-elective admissions - CCG'!$D$5:$N$215,5,0)*$H631</f>
        <v>18.347634794463438</v>
      </c>
      <c r="M631" s="384">
        <f>VLOOKUP($A631,'8.Non-elective admissions - CCG'!$D$5:$N$215,6,0)*$H631</f>
        <v>17.806502132262224</v>
      </c>
      <c r="N631" s="384">
        <f>VLOOKUP($A631,'8.Non-elective admissions - CCG'!$D$5:$N$215,7,0)*$H631</f>
        <v>25.650613201435402</v>
      </c>
      <c r="O631" s="384">
        <f>VLOOKUP($A631,'8.Non-elective admissions - CCG'!$D$5:$N$215,8,0)*$H631</f>
        <v>24.804226216966832</v>
      </c>
      <c r="P631" s="384">
        <f>VLOOKUP($A631,'8.Non-elective admissions - CCG'!$D$5:$N$215,9,0)*$H631</f>
        <v>26.288872238903501</v>
      </c>
      <c r="Q631" s="384">
        <f>VLOOKUP($A631,'8.Non-elective admissions - CCG'!$D$5:$N$215,10,0)*$H631</f>
        <v>25.257482634878961</v>
      </c>
      <c r="R631" s="384">
        <f>VLOOKUP($A631,'8.Non-elective admissions - CCG'!$D$5:$Q$215,11,0)*$H631</f>
        <v>24.882852330278119</v>
      </c>
      <c r="S631" s="384">
        <f>VLOOKUP($A631,'8.Non-elective admissions - CCG'!$D$5:$Q$215,12,0)*$H631</f>
        <v>23.832962464297985</v>
      </c>
      <c r="T631" s="384">
        <f>VLOOKUP($A631,'8.Non-elective admissions - CCG'!$D$5:$Q$215,13,0)*$H631</f>
        <v>25.169606390589877</v>
      </c>
      <c r="U631" s="384">
        <f>VLOOKUP($A631,'8.Non-elective admissions - CCG'!$D$5:$Q$215,14,0)*$H631</f>
        <v>24.184467441454331</v>
      </c>
    </row>
    <row r="632" spans="1:21">
      <c r="A632" s="395" t="s">
        <v>515</v>
      </c>
      <c r="B632" s="395" t="s">
        <v>514</v>
      </c>
      <c r="C632" s="395" t="s">
        <v>759</v>
      </c>
      <c r="D632" s="395" t="s">
        <v>393</v>
      </c>
      <c r="E632" s="537">
        <f>COUNTIF($D$5:D632,D632)</f>
        <v>4</v>
      </c>
      <c r="F632" s="537" t="str">
        <f t="shared" si="18"/>
        <v>Shropshire4</v>
      </c>
      <c r="G632" s="541" t="str">
        <f t="shared" si="19"/>
        <v>NHS South Cheshire CCG</v>
      </c>
      <c r="H632" s="546">
        <v>4.6363323963022002E-3</v>
      </c>
      <c r="I632" s="546">
        <v>2.7572851964272555E-3</v>
      </c>
      <c r="J632" s="384">
        <f>VLOOKUP($A632,'8.Non-elective admissions - CCG'!$D$5:$N$215,3,0)*$H632</f>
        <v>18.614874571153333</v>
      </c>
      <c r="K632" s="384">
        <f>VLOOKUP($A632,'8.Non-elective admissions - CCG'!$D$5:$N$215,4,0)*$H632</f>
        <v>17.965788035671025</v>
      </c>
      <c r="L632" s="384">
        <f>VLOOKUP($A632,'8.Non-elective admissions - CCG'!$D$5:$N$215,5,0)*$H632</f>
        <v>18.392330616130828</v>
      </c>
      <c r="M632" s="384">
        <f>VLOOKUP($A632,'8.Non-elective admissions - CCG'!$D$5:$N$215,6,0)*$H632</f>
        <v>17.849879725763472</v>
      </c>
      <c r="N632" s="384">
        <f>VLOOKUP($A632,'8.Non-elective admissions - CCG'!$D$5:$N$215,7,0)*$H632</f>
        <v>25.713099469892004</v>
      </c>
      <c r="O632" s="384">
        <f>VLOOKUP($A632,'8.Non-elective admissions - CCG'!$D$5:$N$215,8,0)*$H632</f>
        <v>24.864650641368701</v>
      </c>
      <c r="P632" s="384">
        <f>VLOOKUP($A632,'8.Non-elective admissions - CCG'!$D$5:$N$215,9,0)*$H632</f>
        <v>26.352913340581708</v>
      </c>
      <c r="Q632" s="384">
        <f>VLOOKUP($A632,'8.Non-elective admissions - CCG'!$D$5:$N$215,10,0)*$H632</f>
        <v>25.319011216206317</v>
      </c>
      <c r="R632" s="384">
        <f>VLOOKUP($A632,'8.Non-elective admissions - CCG'!$D$5:$Q$215,11,0)*$H632</f>
        <v>24.943468292105837</v>
      </c>
      <c r="S632" s="384">
        <f>VLOOKUP($A632,'8.Non-elective admissions - CCG'!$D$5:$Q$215,12,0)*$H632</f>
        <v>23.891020838145238</v>
      </c>
      <c r="T632" s="384">
        <f>VLOOKUP($A632,'8.Non-elective admissions - CCG'!$D$5:$Q$215,13,0)*$H632</f>
        <v>25.230920900676573</v>
      </c>
      <c r="U632" s="384">
        <f>VLOOKUP($A632,'8.Non-elective admissions - CCG'!$D$5:$Q$215,14,0)*$H632</f>
        <v>24.243382100264206</v>
      </c>
    </row>
    <row r="633" spans="1:21">
      <c r="A633" s="395" t="s">
        <v>515</v>
      </c>
      <c r="B633" s="395" t="s">
        <v>514</v>
      </c>
      <c r="C633" s="395" t="s">
        <v>769</v>
      </c>
      <c r="D633" s="395" t="s">
        <v>423</v>
      </c>
      <c r="E633" s="537">
        <f>COUNTIF($D$5:D633,D633)</f>
        <v>9</v>
      </c>
      <c r="F633" s="537" t="str">
        <f t="shared" si="18"/>
        <v>Staffordshire9</v>
      </c>
      <c r="G633" s="541" t="str">
        <f t="shared" si="19"/>
        <v>NHS South Cheshire CCG</v>
      </c>
      <c r="H633" s="546">
        <v>4.4166277019452313E-3</v>
      </c>
      <c r="I633" s="546">
        <v>9.0148929711431427E-4</v>
      </c>
      <c r="J633" s="384">
        <f>VLOOKUP($A633,'8.Non-elective admissions - CCG'!$D$5:$N$215,3,0)*$H633</f>
        <v>17.732760223310105</v>
      </c>
      <c r="K633" s="384">
        <f>VLOOKUP($A633,'8.Non-elective admissions - CCG'!$D$5:$N$215,4,0)*$H633</f>
        <v>17.11443234503777</v>
      </c>
      <c r="L633" s="384">
        <f>VLOOKUP($A633,'8.Non-elective admissions - CCG'!$D$5:$N$215,5,0)*$H633</f>
        <v>17.520762093616732</v>
      </c>
      <c r="M633" s="384">
        <f>VLOOKUP($A633,'8.Non-elective admissions - CCG'!$D$5:$N$215,6,0)*$H633</f>
        <v>17.004016652489142</v>
      </c>
      <c r="N633" s="384">
        <f>VLOOKUP($A633,'8.Non-elective admissions - CCG'!$D$5:$N$215,7,0)*$H633</f>
        <v>24.494617234988254</v>
      </c>
      <c r="O633" s="384">
        <f>VLOOKUP($A633,'8.Non-elective admissions - CCG'!$D$5:$N$215,8,0)*$H633</f>
        <v>23.686374365532277</v>
      </c>
      <c r="P633" s="384">
        <f>VLOOKUP($A633,'8.Non-elective admissions - CCG'!$D$5:$N$215,9,0)*$H633</f>
        <v>25.104111857856694</v>
      </c>
      <c r="Q633" s="384">
        <f>VLOOKUP($A633,'8.Non-elective admissions - CCG'!$D$5:$N$215,10,0)*$H633</f>
        <v>24.119203880322907</v>
      </c>
      <c r="R633" s="384">
        <f>VLOOKUP($A633,'8.Non-elective admissions - CCG'!$D$5:$Q$215,11,0)*$H633</f>
        <v>23.761457036465345</v>
      </c>
      <c r="S633" s="384">
        <f>VLOOKUP($A633,'8.Non-elective admissions - CCG'!$D$5:$Q$215,12,0)*$H633</f>
        <v>22.758882548123776</v>
      </c>
      <c r="T633" s="384">
        <f>VLOOKUP($A633,'8.Non-elective admissions - CCG'!$D$5:$Q$215,13,0)*$H633</f>
        <v>24.03528795398595</v>
      </c>
      <c r="U633" s="384">
        <f>VLOOKUP($A633,'8.Non-elective admissions - CCG'!$D$5:$Q$215,14,0)*$H633</f>
        <v>23.094546253471616</v>
      </c>
    </row>
    <row r="634" spans="1:21">
      <c r="A634" s="395" t="s">
        <v>518</v>
      </c>
      <c r="B634" s="395" t="s">
        <v>517</v>
      </c>
      <c r="C634" s="395" t="s">
        <v>684</v>
      </c>
      <c r="D634" s="395" t="s">
        <v>150</v>
      </c>
      <c r="E634" s="537">
        <f>COUNTIF($D$5:D634,D634)</f>
        <v>5</v>
      </c>
      <c r="F634" s="537" t="str">
        <f t="shared" si="18"/>
        <v>Devon5</v>
      </c>
      <c r="G634" s="541" t="str">
        <f t="shared" si="19"/>
        <v>NHS South Devon and Torbay CCG</v>
      </c>
      <c r="H634" s="546">
        <v>0.51012407016764738</v>
      </c>
      <c r="I634" s="546">
        <v>0.18694951739992294</v>
      </c>
      <c r="J634" s="384">
        <f>VLOOKUP($A634,'8.Non-elective admissions - CCG'!$D$5:$N$215,3,0)*$H634</f>
        <v>2463.3891348395691</v>
      </c>
      <c r="K634" s="384">
        <f>VLOOKUP($A634,'8.Non-elective admissions - CCG'!$D$5:$N$215,4,0)*$H634</f>
        <v>2716.4106736427225</v>
      </c>
      <c r="L634" s="384">
        <f>VLOOKUP($A634,'8.Non-elective admissions - CCG'!$D$5:$N$215,5,0)*$H634</f>
        <v>2538.8874972243811</v>
      </c>
      <c r="M634" s="384">
        <f>VLOOKUP($A634,'8.Non-elective admissions - CCG'!$D$5:$N$215,6,0)*$H634</f>
        <v>2982.1853142000664</v>
      </c>
      <c r="N634" s="384">
        <f>VLOOKUP($A634,'8.Non-elective admissions - CCG'!$D$5:$N$215,7,0)*$H634</f>
        <v>4288.1029338292437</v>
      </c>
      <c r="O634" s="384">
        <f>VLOOKUP($A634,'8.Non-elective admissions - CCG'!$D$5:$N$215,8,0)*$H634</f>
        <v>4370.2329091262354</v>
      </c>
      <c r="P634" s="384">
        <f>VLOOKUP($A634,'8.Non-elective admissions - CCG'!$D$5:$N$215,9,0)*$H634</f>
        <v>4556.4281947374266</v>
      </c>
      <c r="Q634" s="384">
        <f>VLOOKUP($A634,'8.Non-elective admissions - CCG'!$D$5:$N$215,10,0)*$H634</f>
        <v>4423.28581242367</v>
      </c>
      <c r="R634" s="384">
        <f>VLOOKUP($A634,'8.Non-elective admissions - CCG'!$D$5:$Q$215,11,0)*$H634</f>
        <v>4330.9533557233262</v>
      </c>
      <c r="S634" s="384">
        <f>VLOOKUP($A634,'8.Non-elective admissions - CCG'!$D$5:$Q$215,12,0)*$H634</f>
        <v>4413.5934550904849</v>
      </c>
      <c r="T634" s="384">
        <f>VLOOKUP($A634,'8.Non-elective admissions - CCG'!$D$5:$Q$215,13,0)*$H634</f>
        <v>4601.8292369823466</v>
      </c>
      <c r="U634" s="384">
        <f>VLOOKUP($A634,'8.Non-elective admissions - CCG'!$D$5:$Q$215,14,0)*$H634</f>
        <v>4467.6666065282561</v>
      </c>
    </row>
    <row r="635" spans="1:21">
      <c r="A635" s="395" t="s">
        <v>518</v>
      </c>
      <c r="B635" s="395" t="s">
        <v>517</v>
      </c>
      <c r="C635" s="395" t="s">
        <v>781</v>
      </c>
      <c r="D635" s="395" t="s">
        <v>459</v>
      </c>
      <c r="E635" s="537">
        <f>COUNTIF($D$5:D635,D635)</f>
        <v>1</v>
      </c>
      <c r="F635" s="537" t="str">
        <f t="shared" si="18"/>
        <v>Torbay1</v>
      </c>
      <c r="G635" s="541" t="str">
        <f t="shared" si="19"/>
        <v>NHS South Devon and Torbay CCG</v>
      </c>
      <c r="H635" s="546">
        <v>0.48987592983235262</v>
      </c>
      <c r="I635" s="546">
        <v>1</v>
      </c>
      <c r="J635" s="384">
        <f>VLOOKUP($A635,'8.Non-elective admissions - CCG'!$D$5:$N$215,3,0)*$H635</f>
        <v>2365.6108651604309</v>
      </c>
      <c r="K635" s="384">
        <f>VLOOKUP($A635,'8.Non-elective admissions - CCG'!$D$5:$N$215,4,0)*$H635</f>
        <v>2608.5893263572775</v>
      </c>
      <c r="L635" s="384">
        <f>VLOOKUP($A635,'8.Non-elective admissions - CCG'!$D$5:$N$215,5,0)*$H635</f>
        <v>2438.1125027756189</v>
      </c>
      <c r="M635" s="384">
        <f>VLOOKUP($A635,'8.Non-elective admissions - CCG'!$D$5:$N$215,6,0)*$H635</f>
        <v>2863.8146857999336</v>
      </c>
      <c r="N635" s="384">
        <f>VLOOKUP($A635,'8.Non-elective admissions - CCG'!$D$5:$N$215,7,0)*$H635</f>
        <v>4117.8970661707563</v>
      </c>
      <c r="O635" s="384">
        <f>VLOOKUP($A635,'8.Non-elective admissions - CCG'!$D$5:$N$215,8,0)*$H635</f>
        <v>4196.7670908737646</v>
      </c>
      <c r="P635" s="384">
        <f>VLOOKUP($A635,'8.Non-elective admissions - CCG'!$D$5:$N$215,9,0)*$H635</f>
        <v>4375.5718052625734</v>
      </c>
      <c r="Q635" s="384">
        <f>VLOOKUP($A635,'8.Non-elective admissions - CCG'!$D$5:$N$215,10,0)*$H635</f>
        <v>4247.71418757633</v>
      </c>
      <c r="R635" s="384">
        <f>VLOOKUP($A635,'8.Non-elective admissions - CCG'!$D$5:$Q$215,11,0)*$H635</f>
        <v>4159.0466442766738</v>
      </c>
      <c r="S635" s="384">
        <f>VLOOKUP($A635,'8.Non-elective admissions - CCG'!$D$5:$Q$215,12,0)*$H635</f>
        <v>4238.4065449095151</v>
      </c>
      <c r="T635" s="384">
        <f>VLOOKUP($A635,'8.Non-elective admissions - CCG'!$D$5:$Q$215,13,0)*$H635</f>
        <v>4419.1707630176534</v>
      </c>
      <c r="U635" s="384">
        <f>VLOOKUP($A635,'8.Non-elective admissions - CCG'!$D$5:$Q$215,14,0)*$H635</f>
        <v>4290.3333934717439</v>
      </c>
    </row>
    <row r="636" spans="1:21">
      <c r="A636" s="395" t="s">
        <v>520</v>
      </c>
      <c r="B636" s="395" t="s">
        <v>1221</v>
      </c>
      <c r="C636" s="395" t="s">
        <v>759</v>
      </c>
      <c r="D636" s="395" t="s">
        <v>393</v>
      </c>
      <c r="E636" s="537">
        <f>COUNTIF($D$5:D636,D636)</f>
        <v>5</v>
      </c>
      <c r="F636" s="537" t="str">
        <f t="shared" si="18"/>
        <v>Shropshire5</v>
      </c>
      <c r="G636" s="541" t="str">
        <f t="shared" si="19"/>
        <v>NHS South East Staffs and Seisdon Peninsular CCG</v>
      </c>
      <c r="H636" s="546">
        <v>1.2553500368806052E-2</v>
      </c>
      <c r="I636" s="546">
        <v>8.9519636024952918E-3</v>
      </c>
      <c r="J636" s="384">
        <f>VLOOKUP($A636,'8.Non-elective admissions - CCG'!$D$5:$N$215,3,0)*$H636</f>
        <v>60.5706392794892</v>
      </c>
      <c r="K636" s="384">
        <f>VLOOKUP($A636,'8.Non-elective admissions - CCG'!$D$5:$N$215,4,0)*$H636</f>
        <v>64.374349891237429</v>
      </c>
      <c r="L636" s="384">
        <f>VLOOKUP($A636,'8.Non-elective admissions - CCG'!$D$5:$N$215,5,0)*$H636</f>
        <v>66.357802949508795</v>
      </c>
      <c r="M636" s="384">
        <f>VLOOKUP($A636,'8.Non-elective admissions - CCG'!$D$5:$N$215,6,0)*$H636</f>
        <v>66.621426457253719</v>
      </c>
      <c r="N636" s="384">
        <f>VLOOKUP($A636,'8.Non-elective admissions - CCG'!$D$5:$N$215,7,0)*$H636</f>
        <v>67.713580989339846</v>
      </c>
      <c r="O636" s="384">
        <f>VLOOKUP($A636,'8.Non-elective admissions - CCG'!$D$5:$N$215,8,0)*$H636</f>
        <v>67.738687990077452</v>
      </c>
      <c r="P636" s="384">
        <f>VLOOKUP($A636,'8.Non-elective admissions - CCG'!$D$5:$N$215,9,0)*$H636</f>
        <v>67.66336698786462</v>
      </c>
      <c r="Q636" s="384">
        <f>VLOOKUP($A636,'8.Non-elective admissions - CCG'!$D$5:$N$215,10,0)*$H636</f>
        <v>67.67592048823343</v>
      </c>
      <c r="R636" s="384">
        <f>VLOOKUP($A636,'8.Non-elective admissions - CCG'!$D$5:$Q$215,11,0)*$H636</f>
        <v>63.872209876485194</v>
      </c>
      <c r="S636" s="384">
        <f>VLOOKUP($A636,'8.Non-elective admissions - CCG'!$D$5:$Q$215,12,0)*$H636</f>
        <v>63.947530878698032</v>
      </c>
      <c r="T636" s="384">
        <f>VLOOKUP($A636,'8.Non-elective admissions - CCG'!$D$5:$Q$215,13,0)*$H636</f>
        <v>63.934977378329222</v>
      </c>
      <c r="U636" s="384">
        <f>VLOOKUP($A636,'8.Non-elective admissions - CCG'!$D$5:$Q$215,14,0)*$H636</f>
        <v>63.947530878698032</v>
      </c>
    </row>
    <row r="637" spans="1:21">
      <c r="A637" s="395" t="s">
        <v>520</v>
      </c>
      <c r="B637" s="395" t="s">
        <v>1221</v>
      </c>
      <c r="C637" s="395" t="s">
        <v>769</v>
      </c>
      <c r="D637" s="395" t="s">
        <v>423</v>
      </c>
      <c r="E637" s="537">
        <f>COUNTIF($D$5:D637,D637)</f>
        <v>10</v>
      </c>
      <c r="F637" s="537" t="str">
        <f t="shared" si="18"/>
        <v>Staffordshire10</v>
      </c>
      <c r="G637" s="541" t="str">
        <f t="shared" si="19"/>
        <v>NHS South East Staffs and Seisdon Peninsular CCG</v>
      </c>
      <c r="H637" s="546">
        <v>0.96192606025868099</v>
      </c>
      <c r="I637" s="546">
        <v>0.23542783946131415</v>
      </c>
      <c r="J637" s="384">
        <f>VLOOKUP($A637,'8.Non-elective admissions - CCG'!$D$5:$N$215,3,0)*$H637</f>
        <v>4641.2932407481358</v>
      </c>
      <c r="K637" s="384">
        <f>VLOOKUP($A637,'8.Non-elective admissions - CCG'!$D$5:$N$215,4,0)*$H637</f>
        <v>4932.7568370065164</v>
      </c>
      <c r="L637" s="384">
        <f>VLOOKUP($A637,'8.Non-elective admissions - CCG'!$D$5:$N$215,5,0)*$H637</f>
        <v>5084.7411545273881</v>
      </c>
      <c r="M637" s="384">
        <f>VLOOKUP($A637,'8.Non-elective admissions - CCG'!$D$5:$N$215,6,0)*$H637</f>
        <v>5104.9416017928197</v>
      </c>
      <c r="N637" s="384">
        <f>VLOOKUP($A637,'8.Non-elective admissions - CCG'!$D$5:$N$215,7,0)*$H637</f>
        <v>5188.6291690353255</v>
      </c>
      <c r="O637" s="384">
        <f>VLOOKUP($A637,'8.Non-elective admissions - CCG'!$D$5:$N$215,8,0)*$H637</f>
        <v>5190.5530211558425</v>
      </c>
      <c r="P637" s="384">
        <f>VLOOKUP($A637,'8.Non-elective admissions - CCG'!$D$5:$N$215,9,0)*$H637</f>
        <v>5184.7814647942905</v>
      </c>
      <c r="Q637" s="384">
        <f>VLOOKUP($A637,'8.Non-elective admissions - CCG'!$D$5:$N$215,10,0)*$H637</f>
        <v>5185.743390854549</v>
      </c>
      <c r="R637" s="384">
        <f>VLOOKUP($A637,'8.Non-elective admissions - CCG'!$D$5:$Q$215,11,0)*$H637</f>
        <v>4894.2797945961693</v>
      </c>
      <c r="S637" s="384">
        <f>VLOOKUP($A637,'8.Non-elective admissions - CCG'!$D$5:$Q$215,12,0)*$H637</f>
        <v>4900.0513509577213</v>
      </c>
      <c r="T637" s="384">
        <f>VLOOKUP($A637,'8.Non-elective admissions - CCG'!$D$5:$Q$215,13,0)*$H637</f>
        <v>4899.0894248974619</v>
      </c>
      <c r="U637" s="384">
        <f>VLOOKUP($A637,'8.Non-elective admissions - CCG'!$D$5:$Q$215,14,0)*$H637</f>
        <v>4900.0513509577213</v>
      </c>
    </row>
    <row r="638" spans="1:21">
      <c r="A638" s="395" t="s">
        <v>520</v>
      </c>
      <c r="B638" s="395" t="s">
        <v>1221</v>
      </c>
      <c r="C638" s="395" t="s">
        <v>789</v>
      </c>
      <c r="D638" s="395" t="s">
        <v>483</v>
      </c>
      <c r="E638" s="537">
        <f>COUNTIF($D$5:D638,D638)</f>
        <v>8</v>
      </c>
      <c r="F638" s="537" t="str">
        <f t="shared" si="18"/>
        <v>Warwickshire8</v>
      </c>
      <c r="G638" s="541" t="str">
        <f t="shared" si="19"/>
        <v>NHS South East Staffs and Seisdon Peninsular CCG</v>
      </c>
      <c r="H638" s="546">
        <v>8.2546781990988916E-3</v>
      </c>
      <c r="I638" s="546">
        <v>3.0580560719034792E-3</v>
      </c>
      <c r="J638" s="384">
        <f>VLOOKUP($A638,'8.Non-elective admissions - CCG'!$D$5:$N$215,3,0)*$H638</f>
        <v>39.82882231065215</v>
      </c>
      <c r="K638" s="384">
        <f>VLOOKUP($A638,'8.Non-elective admissions - CCG'!$D$5:$N$215,4,0)*$H638</f>
        <v>42.329989804979114</v>
      </c>
      <c r="L638" s="384">
        <f>VLOOKUP($A638,'8.Non-elective admissions - CCG'!$D$5:$N$215,5,0)*$H638</f>
        <v>43.634228960436744</v>
      </c>
      <c r="M638" s="384">
        <f>VLOOKUP($A638,'8.Non-elective admissions - CCG'!$D$5:$N$215,6,0)*$H638</f>
        <v>43.807577202617814</v>
      </c>
      <c r="N638" s="384">
        <f>VLOOKUP($A638,'8.Non-elective admissions - CCG'!$D$5:$N$215,7,0)*$H638</f>
        <v>44.525734205939422</v>
      </c>
      <c r="O638" s="384">
        <f>VLOOKUP($A638,'8.Non-elective admissions - CCG'!$D$5:$N$215,8,0)*$H638</f>
        <v>44.542243562337617</v>
      </c>
      <c r="P638" s="384">
        <f>VLOOKUP($A638,'8.Non-elective admissions - CCG'!$D$5:$N$215,9,0)*$H638</f>
        <v>44.492715493143024</v>
      </c>
      <c r="Q638" s="384">
        <f>VLOOKUP($A638,'8.Non-elective admissions - CCG'!$D$5:$N$215,10,0)*$H638</f>
        <v>44.500970171342125</v>
      </c>
      <c r="R638" s="384">
        <f>VLOOKUP($A638,'8.Non-elective admissions - CCG'!$D$5:$Q$215,11,0)*$H638</f>
        <v>41.999802677015161</v>
      </c>
      <c r="S638" s="384">
        <f>VLOOKUP($A638,'8.Non-elective admissions - CCG'!$D$5:$Q$215,12,0)*$H638</f>
        <v>42.049330746209755</v>
      </c>
      <c r="T638" s="384">
        <f>VLOOKUP($A638,'8.Non-elective admissions - CCG'!$D$5:$Q$215,13,0)*$H638</f>
        <v>42.041076068010653</v>
      </c>
      <c r="U638" s="384">
        <f>VLOOKUP($A638,'8.Non-elective admissions - CCG'!$D$5:$Q$215,14,0)*$H638</f>
        <v>42.049330746209755</v>
      </c>
    </row>
    <row r="639" spans="1:21">
      <c r="A639" s="395" t="s">
        <v>520</v>
      </c>
      <c r="B639" s="395" t="s">
        <v>1221</v>
      </c>
      <c r="C639" s="395" t="s">
        <v>798</v>
      </c>
      <c r="D639" s="395" t="s">
        <v>510</v>
      </c>
      <c r="E639" s="537">
        <f>COUNTIF($D$5:D639,D639)</f>
        <v>3</v>
      </c>
      <c r="F639" s="537" t="str">
        <f t="shared" si="18"/>
        <v>Wolverhampton3</v>
      </c>
      <c r="G639" s="541" t="str">
        <f t="shared" si="19"/>
        <v>NHS South East Staffs and Seisdon Peninsular CCG</v>
      </c>
      <c r="H639" s="546">
        <v>1.7265761173414013E-2</v>
      </c>
      <c r="I639" s="546">
        <v>1.3816932227477459E-2</v>
      </c>
      <c r="J639" s="384">
        <f>VLOOKUP($A639,'8.Non-elective admissions - CCG'!$D$5:$N$215,3,0)*$H639</f>
        <v>83.307297661722615</v>
      </c>
      <c r="K639" s="384">
        <f>VLOOKUP($A639,'8.Non-elective admissions - CCG'!$D$5:$N$215,4,0)*$H639</f>
        <v>88.538823297267058</v>
      </c>
      <c r="L639" s="384">
        <f>VLOOKUP($A639,'8.Non-elective admissions - CCG'!$D$5:$N$215,5,0)*$H639</f>
        <v>91.266813562666471</v>
      </c>
      <c r="M639" s="384">
        <f>VLOOKUP($A639,'8.Non-elective admissions - CCG'!$D$5:$N$215,6,0)*$H639</f>
        <v>91.629394547308166</v>
      </c>
      <c r="N639" s="384">
        <f>VLOOKUP($A639,'8.Non-elective admissions - CCG'!$D$5:$N$215,7,0)*$H639</f>
        <v>93.131515769395193</v>
      </c>
      <c r="O639" s="384">
        <f>VLOOKUP($A639,'8.Non-elective admissions - CCG'!$D$5:$N$215,8,0)*$H639</f>
        <v>93.166047291742018</v>
      </c>
      <c r="P639" s="384">
        <f>VLOOKUP($A639,'8.Non-elective admissions - CCG'!$D$5:$N$215,9,0)*$H639</f>
        <v>93.062452724701529</v>
      </c>
      <c r="Q639" s="384">
        <f>VLOOKUP($A639,'8.Non-elective admissions - CCG'!$D$5:$N$215,10,0)*$H639</f>
        <v>93.079718485874949</v>
      </c>
      <c r="R639" s="384">
        <f>VLOOKUP($A639,'8.Non-elective admissions - CCG'!$D$5:$Q$215,11,0)*$H639</f>
        <v>87.848192850330506</v>
      </c>
      <c r="S639" s="384">
        <f>VLOOKUP($A639,'8.Non-elective admissions - CCG'!$D$5:$Q$215,12,0)*$H639</f>
        <v>87.95178741737098</v>
      </c>
      <c r="T639" s="384">
        <f>VLOOKUP($A639,'8.Non-elective admissions - CCG'!$D$5:$Q$215,13,0)*$H639</f>
        <v>87.934521656197575</v>
      </c>
      <c r="U639" s="384">
        <f>VLOOKUP($A639,'8.Non-elective admissions - CCG'!$D$5:$Q$215,14,0)*$H639</f>
        <v>87.95178741737098</v>
      </c>
    </row>
    <row r="640" spans="1:21">
      <c r="A640" s="395" t="s">
        <v>522</v>
      </c>
      <c r="B640" s="395" t="s">
        <v>521</v>
      </c>
      <c r="C640" s="395" t="s">
        <v>699</v>
      </c>
      <c r="D640" s="395" t="s">
        <v>205</v>
      </c>
      <c r="E640" s="537">
        <f>COUNTIF($D$5:D640,D640)</f>
        <v>11</v>
      </c>
      <c r="F640" s="537" t="str">
        <f t="shared" si="18"/>
        <v>Hampshire11</v>
      </c>
      <c r="G640" s="541" t="str">
        <f t="shared" si="19"/>
        <v>NHS South Eastern Hampshire CCG</v>
      </c>
      <c r="H640" s="546">
        <v>0.95341951186791496</v>
      </c>
      <c r="I640" s="546">
        <v>0.14656216879484965</v>
      </c>
      <c r="J640" s="384">
        <f>VLOOKUP($A640,'8.Non-elective admissions - CCG'!$D$5:$N$215,3,0)*$H640</f>
        <v>4286.5741253581455</v>
      </c>
      <c r="K640" s="384">
        <f>VLOOKUP($A640,'8.Non-elective admissions - CCG'!$D$5:$N$215,4,0)*$H640</f>
        <v>4379.0558180093331</v>
      </c>
      <c r="L640" s="384">
        <f>VLOOKUP($A640,'8.Non-elective admissions - CCG'!$D$5:$N$215,5,0)*$H640</f>
        <v>4569.7397203829159</v>
      </c>
      <c r="M640" s="384">
        <f>VLOOKUP($A640,'8.Non-elective admissions - CCG'!$D$5:$N$215,6,0)*$H640</f>
        <v>4219.8347595273917</v>
      </c>
      <c r="N640" s="384">
        <f>VLOOKUP($A640,'8.Non-elective admissions - CCG'!$D$5:$N$215,7,0)*$H640</f>
        <v>4236.0428912291463</v>
      </c>
      <c r="O640" s="384">
        <f>VLOOKUP($A640,'8.Non-elective admissions - CCG'!$D$5:$N$215,8,0)*$H640</f>
        <v>4167.3966863746564</v>
      </c>
      <c r="P640" s="384">
        <f>VLOOKUP($A640,'8.Non-elective admissions - CCG'!$D$5:$N$215,9,0)*$H640</f>
        <v>4297.0617399886924</v>
      </c>
      <c r="Q640" s="384">
        <f>VLOOKUP($A640,'8.Non-elective admissions - CCG'!$D$5:$N$215,10,0)*$H640</f>
        <v>4273.2262521919947</v>
      </c>
      <c r="R640" s="384">
        <f>VLOOKUP($A640,'8.Non-elective admissions - CCG'!$D$5:$Q$215,11,0)*$H640</f>
        <v>4067.2876376285253</v>
      </c>
      <c r="S640" s="384">
        <f>VLOOKUP($A640,'8.Non-elective admissions - CCG'!$D$5:$Q$215,12,0)*$H640</f>
        <v>4004.3619498452426</v>
      </c>
      <c r="T640" s="384">
        <f>VLOOKUP($A640,'8.Non-elective admissions - CCG'!$D$5:$Q$215,13,0)*$H640</f>
        <v>4259.878379025844</v>
      </c>
      <c r="U640" s="384">
        <f>VLOOKUP($A640,'8.Non-elective admissions - CCG'!$D$5:$Q$215,14,0)*$H640</f>
        <v>4279.9001887750701</v>
      </c>
    </row>
    <row r="641" spans="1:21">
      <c r="A641" s="395" t="s">
        <v>522</v>
      </c>
      <c r="B641" s="395" t="s">
        <v>521</v>
      </c>
      <c r="C641" s="395" t="s">
        <v>747</v>
      </c>
      <c r="D641" s="395" t="s">
        <v>357</v>
      </c>
      <c r="E641" s="537">
        <f>COUNTIF($D$5:D641,D641)</f>
        <v>3</v>
      </c>
      <c r="F641" s="537" t="str">
        <f t="shared" si="18"/>
        <v>Portsmouth3</v>
      </c>
      <c r="G641" s="541" t="str">
        <f t="shared" si="19"/>
        <v>NHS South Eastern Hampshire CCG</v>
      </c>
      <c r="H641" s="546">
        <v>2.5968550264955873E-3</v>
      </c>
      <c r="I641" s="546">
        <v>2.6246083667865981E-3</v>
      </c>
      <c r="J641" s="384">
        <f>VLOOKUP($A641,'8.Non-elective admissions - CCG'!$D$5:$N$215,3,0)*$H641</f>
        <v>11.67546019912416</v>
      </c>
      <c r="K641" s="384">
        <f>VLOOKUP($A641,'8.Non-elective admissions - CCG'!$D$5:$N$215,4,0)*$H641</f>
        <v>11.927355136694233</v>
      </c>
      <c r="L641" s="384">
        <f>VLOOKUP($A641,'8.Non-elective admissions - CCG'!$D$5:$N$215,5,0)*$H641</f>
        <v>12.44672614199335</v>
      </c>
      <c r="M641" s="384">
        <f>VLOOKUP($A641,'8.Non-elective admissions - CCG'!$D$5:$N$215,6,0)*$H641</f>
        <v>11.49368034726947</v>
      </c>
      <c r="N641" s="384">
        <f>VLOOKUP($A641,'8.Non-elective admissions - CCG'!$D$5:$N$215,7,0)*$H641</f>
        <v>11.537826882719894</v>
      </c>
      <c r="O641" s="384">
        <f>VLOOKUP($A641,'8.Non-elective admissions - CCG'!$D$5:$N$215,8,0)*$H641</f>
        <v>11.350853320812211</v>
      </c>
      <c r="P641" s="384">
        <f>VLOOKUP($A641,'8.Non-elective admissions - CCG'!$D$5:$N$215,9,0)*$H641</f>
        <v>11.704025604415612</v>
      </c>
      <c r="Q641" s="384">
        <f>VLOOKUP($A641,'8.Non-elective admissions - CCG'!$D$5:$N$215,10,0)*$H641</f>
        <v>11.639104228753222</v>
      </c>
      <c r="R641" s="384">
        <f>VLOOKUP($A641,'8.Non-elective admissions - CCG'!$D$5:$Q$215,11,0)*$H641</f>
        <v>11.078183543030175</v>
      </c>
      <c r="S641" s="384">
        <f>VLOOKUP($A641,'8.Non-elective admissions - CCG'!$D$5:$Q$215,12,0)*$H641</f>
        <v>10.906791111281466</v>
      </c>
      <c r="T641" s="384">
        <f>VLOOKUP($A641,'8.Non-elective admissions - CCG'!$D$5:$Q$215,13,0)*$H641</f>
        <v>11.602748258382285</v>
      </c>
      <c r="U641" s="384">
        <f>VLOOKUP($A641,'8.Non-elective admissions - CCG'!$D$5:$Q$215,14,0)*$H641</f>
        <v>11.657282213938691</v>
      </c>
    </row>
    <row r="642" spans="1:21">
      <c r="A642" s="395" t="s">
        <v>522</v>
      </c>
      <c r="B642" s="395" t="s">
        <v>521</v>
      </c>
      <c r="C642" s="395" t="s">
        <v>775</v>
      </c>
      <c r="D642" s="395" t="s">
        <v>441</v>
      </c>
      <c r="E642" s="537">
        <f>COUNTIF($D$5:D642,D642)</f>
        <v>16</v>
      </c>
      <c r="F642" s="537" t="str">
        <f t="shared" si="18"/>
        <v>Surrey16</v>
      </c>
      <c r="G642" s="541" t="str">
        <f t="shared" si="19"/>
        <v>NHS South Eastern Hampshire CCG</v>
      </c>
      <c r="H642" s="546">
        <v>1.034909014249164E-3</v>
      </c>
      <c r="I642" s="546">
        <v>0</v>
      </c>
      <c r="J642" s="384">
        <f>VLOOKUP($A642,'8.Non-elective admissions - CCG'!$D$5:$N$215,3,0)*$H642</f>
        <v>4.6529509280642412</v>
      </c>
      <c r="K642" s="384">
        <f>VLOOKUP($A642,'8.Non-elective admissions - CCG'!$D$5:$N$215,4,0)*$H642</f>
        <v>4.7533371024464106</v>
      </c>
      <c r="L642" s="384">
        <f>VLOOKUP($A642,'8.Non-elective admissions - CCG'!$D$5:$N$215,5,0)*$H642</f>
        <v>4.9603189052962433</v>
      </c>
      <c r="M642" s="384">
        <f>VLOOKUP($A642,'8.Non-elective admissions - CCG'!$D$5:$N$215,6,0)*$H642</f>
        <v>4.5805072970667995</v>
      </c>
      <c r="N642" s="384">
        <f>VLOOKUP($A642,'8.Non-elective admissions - CCG'!$D$5:$N$215,7,0)*$H642</f>
        <v>4.5981007503090359</v>
      </c>
      <c r="O642" s="384">
        <f>VLOOKUP($A642,'8.Non-elective admissions - CCG'!$D$5:$N$215,8,0)*$H642</f>
        <v>4.5235873012830963</v>
      </c>
      <c r="P642" s="384">
        <f>VLOOKUP($A642,'8.Non-elective admissions - CCG'!$D$5:$N$215,9,0)*$H642</f>
        <v>4.664334927220982</v>
      </c>
      <c r="Q642" s="384">
        <f>VLOOKUP($A642,'8.Non-elective admissions - CCG'!$D$5:$N$215,10,0)*$H642</f>
        <v>4.638462201864753</v>
      </c>
      <c r="R642" s="384">
        <f>VLOOKUP($A642,'8.Non-elective admissions - CCG'!$D$5:$Q$215,11,0)*$H642</f>
        <v>4.4149218547869333</v>
      </c>
      <c r="S642" s="384">
        <f>VLOOKUP($A642,'8.Non-elective admissions - CCG'!$D$5:$Q$215,12,0)*$H642</f>
        <v>4.3466178598464884</v>
      </c>
      <c r="T642" s="384">
        <f>VLOOKUP($A642,'8.Non-elective admissions - CCG'!$D$5:$Q$215,13,0)*$H642</f>
        <v>4.6239734756652648</v>
      </c>
      <c r="U642" s="384">
        <f>VLOOKUP($A642,'8.Non-elective admissions - CCG'!$D$5:$Q$215,14,0)*$H642</f>
        <v>4.6457065649644971</v>
      </c>
    </row>
    <row r="643" spans="1:21">
      <c r="A643" s="395" t="s">
        <v>522</v>
      </c>
      <c r="B643" s="395" t="s">
        <v>521</v>
      </c>
      <c r="C643" s="395" t="s">
        <v>791</v>
      </c>
      <c r="D643" s="395" t="s">
        <v>489</v>
      </c>
      <c r="E643" s="537">
        <f>COUNTIF($D$5:D643,D643)</f>
        <v>8</v>
      </c>
      <c r="F643" s="537" t="str">
        <f t="shared" si="18"/>
        <v>West Sussex8</v>
      </c>
      <c r="G643" s="541" t="str">
        <f t="shared" si="19"/>
        <v>NHS South Eastern Hampshire CCG</v>
      </c>
      <c r="H643" s="546">
        <v>4.2948724091340304E-2</v>
      </c>
      <c r="I643" s="546">
        <v>1.0469797717060841E-2</v>
      </c>
      <c r="J643" s="384">
        <f>VLOOKUP($A643,'8.Non-elective admissions - CCG'!$D$5:$N$215,3,0)*$H643</f>
        <v>193.097463514666</v>
      </c>
      <c r="K643" s="384">
        <f>VLOOKUP($A643,'8.Non-elective admissions - CCG'!$D$5:$N$215,4,0)*$H643</f>
        <v>197.26348975152601</v>
      </c>
      <c r="L643" s="384">
        <f>VLOOKUP($A643,'8.Non-elective admissions - CCG'!$D$5:$N$215,5,0)*$H643</f>
        <v>205.85323456979407</v>
      </c>
      <c r="M643" s="384">
        <f>VLOOKUP($A643,'8.Non-elective admissions - CCG'!$D$5:$N$215,6,0)*$H643</f>
        <v>190.09105282827218</v>
      </c>
      <c r="N643" s="384">
        <f>VLOOKUP($A643,'8.Non-elective admissions - CCG'!$D$5:$N$215,7,0)*$H643</f>
        <v>190.82118113782496</v>
      </c>
      <c r="O643" s="384">
        <f>VLOOKUP($A643,'8.Non-elective admissions - CCG'!$D$5:$N$215,8,0)*$H643</f>
        <v>187.72887300324848</v>
      </c>
      <c r="P643" s="384">
        <f>VLOOKUP($A643,'8.Non-elective admissions - CCG'!$D$5:$N$215,9,0)*$H643</f>
        <v>193.56989947967074</v>
      </c>
      <c r="Q643" s="384">
        <f>VLOOKUP($A643,'8.Non-elective admissions - CCG'!$D$5:$N$215,10,0)*$H643</f>
        <v>192.49618137738724</v>
      </c>
      <c r="R643" s="384">
        <f>VLOOKUP($A643,'8.Non-elective admissions - CCG'!$D$5:$Q$215,11,0)*$H643</f>
        <v>183.21925697365774</v>
      </c>
      <c r="S643" s="384">
        <f>VLOOKUP($A643,'8.Non-elective admissions - CCG'!$D$5:$Q$215,12,0)*$H643</f>
        <v>180.38464118362927</v>
      </c>
      <c r="T643" s="384">
        <f>VLOOKUP($A643,'8.Non-elective admissions - CCG'!$D$5:$Q$215,13,0)*$H643</f>
        <v>191.89489924010849</v>
      </c>
      <c r="U643" s="384">
        <f>VLOOKUP($A643,'8.Non-elective admissions - CCG'!$D$5:$Q$215,14,0)*$H643</f>
        <v>192.79682244602662</v>
      </c>
    </row>
    <row r="644" spans="1:21">
      <c r="A644" s="395" t="s">
        <v>524</v>
      </c>
      <c r="B644" s="395" t="s">
        <v>523</v>
      </c>
      <c r="C644" s="395" t="s">
        <v>665</v>
      </c>
      <c r="D644" s="395" t="s">
        <v>79</v>
      </c>
      <c r="E644" s="537">
        <f>COUNTIF($D$5:D644,D644)</f>
        <v>2</v>
      </c>
      <c r="F644" s="537" t="str">
        <f t="shared" si="18"/>
        <v>Bristol, City of2</v>
      </c>
      <c r="G644" s="541" t="str">
        <f t="shared" si="19"/>
        <v>NHS South Gloucestershire CCG</v>
      </c>
      <c r="H644" s="546">
        <v>3.9144901459672768E-2</v>
      </c>
      <c r="I644" s="546">
        <v>2.175533055491273E-2</v>
      </c>
      <c r="J644" s="384">
        <f>VLOOKUP($A644,'8.Non-elective admissions - CCG'!$D$5:$N$215,3,0)*$H644</f>
        <v>185.31196351009089</v>
      </c>
      <c r="K644" s="384">
        <f>VLOOKUP($A644,'8.Non-elective admissions - CCG'!$D$5:$N$215,4,0)*$H644</f>
        <v>183.15899392980887</v>
      </c>
      <c r="L644" s="384">
        <f>VLOOKUP($A644,'8.Non-elective admissions - CCG'!$D$5:$N$215,5,0)*$H644</f>
        <v>195.45049298814612</v>
      </c>
      <c r="M644" s="384">
        <f>VLOOKUP($A644,'8.Non-elective admissions - CCG'!$D$5:$N$215,6,0)*$H644</f>
        <v>204.29724071803219</v>
      </c>
      <c r="N644" s="384">
        <f>VLOOKUP($A644,'8.Non-elective admissions - CCG'!$D$5:$N$215,7,0)*$H644</f>
        <v>191.36499726249312</v>
      </c>
      <c r="O644" s="384">
        <f>VLOOKUP($A644,'8.Non-elective admissions - CCG'!$D$5:$N$215,8,0)*$H644</f>
        <v>203.32185611430498</v>
      </c>
      <c r="P644" s="384">
        <f>VLOOKUP($A644,'8.Non-elective admissions - CCG'!$D$5:$N$215,9,0)*$H644</f>
        <v>200.5870832608399</v>
      </c>
      <c r="Q644" s="384">
        <f>VLOOKUP($A644,'8.Non-elective admissions - CCG'!$D$5:$N$215,10,0)*$H644</f>
        <v>200.46964855646087</v>
      </c>
      <c r="R644" s="384">
        <f>VLOOKUP($A644,'8.Non-elective admissions - CCG'!$D$5:$Q$215,11,0)*$H644</f>
        <v>197.85805196551937</v>
      </c>
      <c r="S644" s="384">
        <f>VLOOKUP($A644,'8.Non-elective admissions - CCG'!$D$5:$Q$215,12,0)*$H644</f>
        <v>203.71450081578854</v>
      </c>
      <c r="T644" s="384">
        <f>VLOOKUP($A644,'8.Non-elective admissions - CCG'!$D$5:$Q$215,13,0)*$H644</f>
        <v>198.05377647313085</v>
      </c>
      <c r="U644" s="384">
        <f>VLOOKUP($A644,'8.Non-elective admissions - CCG'!$D$5:$Q$215,14,0)*$H644</f>
        <v>192.04074801702296</v>
      </c>
    </row>
    <row r="645" spans="1:21">
      <c r="A645" s="395" t="s">
        <v>524</v>
      </c>
      <c r="B645" s="395" t="s">
        <v>523</v>
      </c>
      <c r="C645" s="395" t="s">
        <v>694</v>
      </c>
      <c r="D645" s="395" t="s">
        <v>188</v>
      </c>
      <c r="E645" s="537">
        <f>COUNTIF($D$5:D645,D645)</f>
        <v>4</v>
      </c>
      <c r="F645" s="537" t="str">
        <f t="shared" ref="F645:F708" si="20">D645&amp;E645</f>
        <v>Gloucestershire4</v>
      </c>
      <c r="G645" s="541" t="str">
        <f t="shared" ref="G645:G708" si="21">B645</f>
        <v>NHS South Gloucestershire CCG</v>
      </c>
      <c r="H645" s="546">
        <v>2.7734164594244584E-3</v>
      </c>
      <c r="I645" s="546">
        <v>1.1714835726053569E-3</v>
      </c>
      <c r="J645" s="384">
        <f>VLOOKUP($A645,'8.Non-elective admissions - CCG'!$D$5:$N$215,3,0)*$H645</f>
        <v>13.129353518915387</v>
      </c>
      <c r="K645" s="384">
        <f>VLOOKUP($A645,'8.Non-elective admissions - CCG'!$D$5:$N$215,4,0)*$H645</f>
        <v>12.976815613647041</v>
      </c>
      <c r="L645" s="384">
        <f>VLOOKUP($A645,'8.Non-elective admissions - CCG'!$D$5:$N$215,5,0)*$H645</f>
        <v>13.84766838190632</v>
      </c>
      <c r="M645" s="384">
        <f>VLOOKUP($A645,'8.Non-elective admissions - CCG'!$D$5:$N$215,6,0)*$H645</f>
        <v>14.474460501736248</v>
      </c>
      <c r="N645" s="384">
        <f>VLOOKUP($A645,'8.Non-elective admissions - CCG'!$D$5:$N$215,7,0)*$H645</f>
        <v>13.558210989808723</v>
      </c>
      <c r="O645" s="384">
        <f>VLOOKUP($A645,'8.Non-elective admissions - CCG'!$D$5:$N$215,8,0)*$H645</f>
        <v>14.405354497802811</v>
      </c>
      <c r="P645" s="384">
        <f>VLOOKUP($A645,'8.Non-elective admissions - CCG'!$D$5:$N$215,9,0)*$H645</f>
        <v>14.21159582779055</v>
      </c>
      <c r="Q645" s="384">
        <f>VLOOKUP($A645,'8.Non-elective admissions - CCG'!$D$5:$N$215,10,0)*$H645</f>
        <v>14.203275578412272</v>
      </c>
      <c r="R645" s="384">
        <f>VLOOKUP($A645,'8.Non-elective admissions - CCG'!$D$5:$Q$215,11,0)*$H645</f>
        <v>14.018243947200844</v>
      </c>
      <c r="S645" s="384">
        <f>VLOOKUP($A645,'8.Non-elective admissions - CCG'!$D$5:$Q$215,12,0)*$H645</f>
        <v>14.43317337681882</v>
      </c>
      <c r="T645" s="384">
        <f>VLOOKUP($A645,'8.Non-elective admissions - CCG'!$D$5:$Q$215,13,0)*$H645</f>
        <v>14.03211102952015</v>
      </c>
      <c r="U645" s="384">
        <f>VLOOKUP($A645,'8.Non-elective admissions - CCG'!$D$5:$Q$215,14,0)*$H645</f>
        <v>13.606087934064474</v>
      </c>
    </row>
    <row r="646" spans="1:21">
      <c r="A646" s="395" t="s">
        <v>524</v>
      </c>
      <c r="B646" s="395" t="s">
        <v>523</v>
      </c>
      <c r="C646" s="395" t="s">
        <v>763</v>
      </c>
      <c r="D646" s="395" t="s">
        <v>405</v>
      </c>
      <c r="E646" s="537">
        <f>COUNTIF($D$5:D646,D646)</f>
        <v>4</v>
      </c>
      <c r="F646" s="537" t="str">
        <f t="shared" si="20"/>
        <v>South Gloucestershire4</v>
      </c>
      <c r="G646" s="541" t="str">
        <f t="shared" si="21"/>
        <v>NHS South Gloucestershire CCG</v>
      </c>
      <c r="H646" s="546">
        <v>0.94901268666124206</v>
      </c>
      <c r="I646" s="546">
        <v>0.89568641024531648</v>
      </c>
      <c r="J646" s="384">
        <f>VLOOKUP($A646,'8.Non-elective admissions - CCG'!$D$5:$N$215,3,0)*$H646</f>
        <v>4492.6260586543203</v>
      </c>
      <c r="K646" s="384">
        <f>VLOOKUP($A646,'8.Non-elective admissions - CCG'!$D$5:$N$215,4,0)*$H646</f>
        <v>4440.4303608879518</v>
      </c>
      <c r="L646" s="384">
        <f>VLOOKUP($A646,'8.Non-elective admissions - CCG'!$D$5:$N$215,5,0)*$H646</f>
        <v>4738.4203444995819</v>
      </c>
      <c r="M646" s="384">
        <f>VLOOKUP($A646,'8.Non-elective admissions - CCG'!$D$5:$N$215,6,0)*$H646</f>
        <v>4952.8972116850227</v>
      </c>
      <c r="N646" s="384">
        <f>VLOOKUP($A646,'8.Non-elective admissions - CCG'!$D$5:$N$215,7,0)*$H646</f>
        <v>4639.3732877854582</v>
      </c>
      <c r="O646" s="384">
        <f>VLOOKUP($A646,'8.Non-elective admissions - CCG'!$D$5:$N$215,8,0)*$H646</f>
        <v>4929.2503936117982</v>
      </c>
      <c r="P646" s="384">
        <f>VLOOKUP($A646,'8.Non-elective admissions - CCG'!$D$5:$N$215,9,0)*$H646</f>
        <v>4862.9496996185117</v>
      </c>
      <c r="Q646" s="384">
        <f>VLOOKUP($A646,'8.Non-elective admissions - CCG'!$D$5:$N$215,10,0)*$H646</f>
        <v>4860.102661558527</v>
      </c>
      <c r="R646" s="384">
        <f>VLOOKUP($A646,'8.Non-elective admissions - CCG'!$D$5:$Q$215,11,0)*$H646</f>
        <v>4796.7882015694531</v>
      </c>
      <c r="S646" s="384">
        <f>VLOOKUP($A646,'8.Non-elective admissions - CCG'!$D$5:$Q$215,12,0)*$H646</f>
        <v>4938.7695082132768</v>
      </c>
      <c r="T646" s="384">
        <f>VLOOKUP($A646,'8.Non-elective admissions - CCG'!$D$5:$Q$215,13,0)*$H646</f>
        <v>4801.5332650103501</v>
      </c>
      <c r="U646" s="384">
        <f>VLOOKUP($A646,'8.Non-elective admissions - CCG'!$D$5:$Q$215,14,0)*$H646</f>
        <v>4655.7559076198804</v>
      </c>
    </row>
    <row r="647" spans="1:21">
      <c r="A647" s="395" t="s">
        <v>524</v>
      </c>
      <c r="B647" s="395" t="s">
        <v>523</v>
      </c>
      <c r="C647" s="395" t="s">
        <v>794</v>
      </c>
      <c r="D647" s="395" t="s">
        <v>498</v>
      </c>
      <c r="E647" s="537">
        <f>COUNTIF($D$5:D647,D647)</f>
        <v>6</v>
      </c>
      <c r="F647" s="537" t="str">
        <f t="shared" si="20"/>
        <v>Wiltshire6</v>
      </c>
      <c r="G647" s="541" t="str">
        <f t="shared" si="21"/>
        <v>NHS South Gloucestershire CCG</v>
      </c>
      <c r="H647" s="546">
        <v>9.0689954196606949E-3</v>
      </c>
      <c r="I647" s="546">
        <v>4.9632045492557283E-3</v>
      </c>
      <c r="J647" s="384">
        <f>VLOOKUP($A647,'8.Non-elective admissions - CCG'!$D$5:$N$215,3,0)*$H647</f>
        <v>42.932624316673731</v>
      </c>
      <c r="K647" s="384">
        <f>VLOOKUP($A647,'8.Non-elective admissions - CCG'!$D$5:$N$215,4,0)*$H647</f>
        <v>42.433829568592394</v>
      </c>
      <c r="L647" s="384">
        <f>VLOOKUP($A647,'8.Non-elective admissions - CCG'!$D$5:$N$215,5,0)*$H647</f>
        <v>45.28149413036585</v>
      </c>
      <c r="M647" s="384">
        <f>VLOOKUP($A647,'8.Non-elective admissions - CCG'!$D$5:$N$215,6,0)*$H647</f>
        <v>47.331087095209163</v>
      </c>
      <c r="N647" s="384">
        <f>VLOOKUP($A647,'8.Non-elective admissions - CCG'!$D$5:$N$215,7,0)*$H647</f>
        <v>44.334976432239543</v>
      </c>
      <c r="O647" s="384">
        <f>VLOOKUP($A647,'8.Non-elective admissions - CCG'!$D$5:$N$215,8,0)*$H647</f>
        <v>47.105112366093486</v>
      </c>
      <c r="P647" s="384">
        <f>VLOOKUP($A647,'8.Non-elective admissions - CCG'!$D$5:$N$215,9,0)*$H647</f>
        <v>46.471526852857799</v>
      </c>
      <c r="Q647" s="384">
        <f>VLOOKUP($A647,'8.Non-elective admissions - CCG'!$D$5:$N$215,10,0)*$H647</f>
        <v>46.444319866598811</v>
      </c>
      <c r="R647" s="384">
        <f>VLOOKUP($A647,'8.Non-elective admissions - CCG'!$D$5:$Q$215,11,0)*$H647</f>
        <v>45.839271529827556</v>
      </c>
      <c r="S647" s="384">
        <f>VLOOKUP($A647,'8.Non-elective admissions - CCG'!$D$5:$Q$215,12,0)*$H647</f>
        <v>47.196079334115538</v>
      </c>
      <c r="T647" s="384">
        <f>VLOOKUP($A647,'8.Non-elective admissions - CCG'!$D$5:$Q$215,13,0)*$H647</f>
        <v>45.884616506998398</v>
      </c>
      <c r="U647" s="384">
        <f>VLOOKUP($A647,'8.Non-elective admissions - CCG'!$D$5:$Q$215,14,0)*$H647</f>
        <v>44.491532721031767</v>
      </c>
    </row>
    <row r="648" spans="1:21">
      <c r="A648" s="395" t="s">
        <v>526</v>
      </c>
      <c r="B648" s="395" t="s">
        <v>525</v>
      </c>
      <c r="C648" s="395" t="s">
        <v>712</v>
      </c>
      <c r="D648" s="395" t="s">
        <v>252</v>
      </c>
      <c r="E648" s="537">
        <f>COUNTIF($D$5:D648,D648)</f>
        <v>11</v>
      </c>
      <c r="F648" s="537" t="str">
        <f t="shared" si="20"/>
        <v>Kent11</v>
      </c>
      <c r="G648" s="541" t="str">
        <f t="shared" si="21"/>
        <v>NHS South Kent Coast CCG</v>
      </c>
      <c r="H648" s="546">
        <v>0.99999999999999989</v>
      </c>
      <c r="I648" s="546">
        <v>0.13165149605898838</v>
      </c>
      <c r="J648" s="384">
        <f>VLOOKUP($A648,'8.Non-elective admissions - CCG'!$D$5:$N$215,3,0)*$H648</f>
        <v>5041.9999999999991</v>
      </c>
      <c r="K648" s="384">
        <f>VLOOKUP($A648,'8.Non-elective admissions - CCG'!$D$5:$N$215,4,0)*$H648</f>
        <v>5004.9999999999991</v>
      </c>
      <c r="L648" s="384">
        <f>VLOOKUP($A648,'8.Non-elective admissions - CCG'!$D$5:$N$215,5,0)*$H648</f>
        <v>4978.9999999999991</v>
      </c>
      <c r="M648" s="384">
        <f>VLOOKUP($A648,'8.Non-elective admissions - CCG'!$D$5:$N$215,6,0)*$H648</f>
        <v>4996.9999999999991</v>
      </c>
      <c r="N648" s="384">
        <f>VLOOKUP($A648,'8.Non-elective admissions - CCG'!$D$5:$N$215,7,0)*$H648</f>
        <v>5553.9999999999991</v>
      </c>
      <c r="O648" s="384">
        <f>VLOOKUP($A648,'8.Non-elective admissions - CCG'!$D$5:$N$215,8,0)*$H648</f>
        <v>5614.9999999999991</v>
      </c>
      <c r="P648" s="384">
        <f>VLOOKUP($A648,'8.Non-elective admissions - CCG'!$D$5:$N$215,9,0)*$H648</f>
        <v>5614.9999999999991</v>
      </c>
      <c r="Q648" s="384">
        <f>VLOOKUP($A648,'8.Non-elective admissions - CCG'!$D$5:$N$215,10,0)*$H648</f>
        <v>5492.9999999999991</v>
      </c>
      <c r="R648" s="384">
        <f>VLOOKUP($A648,'8.Non-elective admissions - CCG'!$D$5:$Q$215,11,0)*$H648</f>
        <v>5492.9999999999991</v>
      </c>
      <c r="S648" s="384">
        <f>VLOOKUP($A648,'8.Non-elective admissions - CCG'!$D$5:$Q$215,12,0)*$H648</f>
        <v>5552.9999999999991</v>
      </c>
      <c r="T648" s="384">
        <f>VLOOKUP($A648,'8.Non-elective admissions - CCG'!$D$5:$Q$215,13,0)*$H648</f>
        <v>5552.9999999999991</v>
      </c>
      <c r="U648" s="384">
        <f>VLOOKUP($A648,'8.Non-elective admissions - CCG'!$D$5:$Q$215,14,0)*$H648</f>
        <v>5430.9999999999991</v>
      </c>
    </row>
    <row r="649" spans="1:21">
      <c r="A649" s="395" t="s">
        <v>528</v>
      </c>
      <c r="B649" s="395" t="s">
        <v>527</v>
      </c>
      <c r="C649" s="395" t="s">
        <v>670</v>
      </c>
      <c r="D649" s="395" t="s">
        <v>98</v>
      </c>
      <c r="E649" s="537">
        <f>COUNTIF($D$5:D649,D649)</f>
        <v>4</v>
      </c>
      <c r="F649" s="537" t="str">
        <f t="shared" si="20"/>
        <v>Cambridgeshire4</v>
      </c>
      <c r="G649" s="541" t="str">
        <f t="shared" si="21"/>
        <v>NHS South Lincolnshire CCG</v>
      </c>
      <c r="H649" s="546">
        <v>3.4866810028713843E-3</v>
      </c>
      <c r="I649" s="546">
        <v>0</v>
      </c>
      <c r="J649" s="384">
        <f>VLOOKUP($A649,'8.Non-elective admissions - CCG'!$D$5:$N$215,3,0)*$H649</f>
        <v>12.178976743029745</v>
      </c>
      <c r="K649" s="384">
        <f>VLOOKUP($A649,'8.Non-elective admissions - CCG'!$D$5:$N$215,4,0)*$H649</f>
        <v>12.144109933001031</v>
      </c>
      <c r="L649" s="384">
        <f>VLOOKUP($A649,'8.Non-elective admissions - CCG'!$D$5:$N$215,5,0)*$H649</f>
        <v>13.360961603003144</v>
      </c>
      <c r="M649" s="384">
        <f>VLOOKUP($A649,'8.Non-elective admissions - CCG'!$D$5:$N$215,6,0)*$H649</f>
        <v>12.900719710624122</v>
      </c>
      <c r="N649" s="384">
        <f>VLOOKUP($A649,'8.Non-elective admissions - CCG'!$D$5:$N$215,7,0)*$H649</f>
        <v>11.971628697265977</v>
      </c>
      <c r="O649" s="384">
        <f>VLOOKUP($A649,'8.Non-elective admissions - CCG'!$D$5:$N$215,8,0)*$H649</f>
        <v>11.294018144163589</v>
      </c>
      <c r="P649" s="384">
        <f>VLOOKUP($A649,'8.Non-elective admissions - CCG'!$D$5:$N$215,9,0)*$H649</f>
        <v>12.092070465986785</v>
      </c>
      <c r="Q649" s="384">
        <f>VLOOKUP($A649,'8.Non-elective admissions - CCG'!$D$5:$N$215,10,0)*$H649</f>
        <v>11.266709591889208</v>
      </c>
      <c r="R649" s="384">
        <f>VLOOKUP($A649,'8.Non-elective admissions - CCG'!$D$5:$Q$215,11,0)*$H649</f>
        <v>11.814526340311744</v>
      </c>
      <c r="S649" s="384">
        <f>VLOOKUP($A649,'8.Non-elective admissions - CCG'!$D$5:$Q$215,12,0)*$H649</f>
        <v>11.143989647195397</v>
      </c>
      <c r="T649" s="384">
        <f>VLOOKUP($A649,'8.Non-elective admissions - CCG'!$D$5:$Q$215,13,0)*$H649</f>
        <v>11.93364836577226</v>
      </c>
      <c r="U649" s="384">
        <f>VLOOKUP($A649,'8.Non-elective admissions - CCG'!$D$5:$Q$215,14,0)*$H649</f>
        <v>11.116916684297498</v>
      </c>
    </row>
    <row r="650" spans="1:21">
      <c r="A650" s="395" t="s">
        <v>528</v>
      </c>
      <c r="B650" s="395" t="s">
        <v>527</v>
      </c>
      <c r="C650" s="395" t="s">
        <v>723</v>
      </c>
      <c r="D650" s="395" t="s">
        <v>285</v>
      </c>
      <c r="E650" s="537">
        <f>COUNTIF($D$5:D650,D650)</f>
        <v>8</v>
      </c>
      <c r="F650" s="537" t="str">
        <f t="shared" si="20"/>
        <v>Lincolnshire8</v>
      </c>
      <c r="G650" s="541" t="str">
        <f t="shared" si="21"/>
        <v>NHS South Lincolnshire CCG</v>
      </c>
      <c r="H650" s="546">
        <v>0.90597148504021185</v>
      </c>
      <c r="I650" s="546">
        <v>0.1944686062520678</v>
      </c>
      <c r="J650" s="384">
        <f>VLOOKUP($A650,'8.Non-elective admissions - CCG'!$D$5:$N$215,3,0)*$H650</f>
        <v>3164.5583972454601</v>
      </c>
      <c r="K650" s="384">
        <f>VLOOKUP($A650,'8.Non-elective admissions - CCG'!$D$5:$N$215,4,0)*$H650</f>
        <v>3155.498682395058</v>
      </c>
      <c r="L650" s="384">
        <f>VLOOKUP($A650,'8.Non-elective admissions - CCG'!$D$5:$N$215,5,0)*$H650</f>
        <v>3471.682730674092</v>
      </c>
      <c r="M650" s="384">
        <f>VLOOKUP($A650,'8.Non-elective admissions - CCG'!$D$5:$N$215,6,0)*$H650</f>
        <v>3352.0944946487839</v>
      </c>
      <c r="N650" s="384">
        <f>VLOOKUP($A650,'8.Non-elective admissions - CCG'!$D$5:$N$215,7,0)*$H650</f>
        <v>3110.6815393436086</v>
      </c>
      <c r="O650" s="384">
        <f>VLOOKUP($A650,'8.Non-elective admissions - CCG'!$D$5:$N$215,8,0)*$H650</f>
        <v>2934.6127109743002</v>
      </c>
      <c r="P650" s="384">
        <f>VLOOKUP($A650,'8.Non-elective admissions - CCG'!$D$5:$N$215,9,0)*$H650</f>
        <v>3141.976862310923</v>
      </c>
      <c r="Q650" s="384">
        <f>VLOOKUP($A650,'8.Non-elective admissions - CCG'!$D$5:$N$215,10,0)*$H650</f>
        <v>2927.5169171124744</v>
      </c>
      <c r="R650" s="384">
        <f>VLOOKUP($A650,'8.Non-elective admissions - CCG'!$D$5:$Q$215,11,0)*$H650</f>
        <v>3069.8604101620367</v>
      </c>
      <c r="S650" s="384">
        <f>VLOOKUP($A650,'8.Non-elective admissions - CCG'!$D$5:$Q$215,12,0)*$H650</f>
        <v>2895.6296379358751</v>
      </c>
      <c r="T650" s="384">
        <f>VLOOKUP($A650,'8.Non-elective admissions - CCG'!$D$5:$Q$215,13,0)*$H650</f>
        <v>3100.8128139576766</v>
      </c>
      <c r="U650" s="384">
        <f>VLOOKUP($A650,'8.Non-elective admissions - CCG'!$D$5:$Q$215,14,0)*$H650</f>
        <v>2888.5950590969023</v>
      </c>
    </row>
    <row r="651" spans="1:21">
      <c r="A651" s="395" t="s">
        <v>528</v>
      </c>
      <c r="B651" s="395" t="s">
        <v>527</v>
      </c>
      <c r="C651" s="395" t="s">
        <v>733</v>
      </c>
      <c r="D651" s="395" t="s">
        <v>315</v>
      </c>
      <c r="E651" s="537">
        <f>COUNTIF($D$5:D651,D651)</f>
        <v>6</v>
      </c>
      <c r="F651" s="537" t="str">
        <f t="shared" si="20"/>
        <v>Norfolk6</v>
      </c>
      <c r="G651" s="541" t="str">
        <f t="shared" si="21"/>
        <v>NHS South Lincolnshire CCG</v>
      </c>
      <c r="H651" s="546">
        <v>2.0323434722619299E-3</v>
      </c>
      <c r="I651" s="546">
        <v>0</v>
      </c>
      <c r="J651" s="384">
        <f>VLOOKUP($A651,'8.Non-elective admissions - CCG'!$D$5:$N$215,3,0)*$H651</f>
        <v>7.0989757486109211</v>
      </c>
      <c r="K651" s="384">
        <f>VLOOKUP($A651,'8.Non-elective admissions - CCG'!$D$5:$N$215,4,0)*$H651</f>
        <v>7.078652313888302</v>
      </c>
      <c r="L651" s="384">
        <f>VLOOKUP($A651,'8.Non-elective admissions - CCG'!$D$5:$N$215,5,0)*$H651</f>
        <v>7.7879401857077157</v>
      </c>
      <c r="M651" s="384">
        <f>VLOOKUP($A651,'8.Non-elective admissions - CCG'!$D$5:$N$215,6,0)*$H651</f>
        <v>7.5196708473691407</v>
      </c>
      <c r="N651" s="384">
        <f>VLOOKUP($A651,'8.Non-elective admissions - CCG'!$D$5:$N$215,7,0)*$H651</f>
        <v>6.9781151230053027</v>
      </c>
      <c r="O651" s="384">
        <f>VLOOKUP($A651,'8.Non-elective admissions - CCG'!$D$5:$N$215,8,0)*$H651</f>
        <v>6.5831442658493655</v>
      </c>
      <c r="P651" s="384">
        <f>VLOOKUP($A651,'8.Non-elective admissions - CCG'!$D$5:$N$215,9,0)*$H651</f>
        <v>7.0483191486233139</v>
      </c>
      <c r="Q651" s="384">
        <f>VLOOKUP($A651,'8.Non-elective admissions - CCG'!$D$5:$N$215,10,0)*$H651</f>
        <v>6.5672264466092178</v>
      </c>
      <c r="R651" s="384">
        <f>VLOOKUP($A651,'8.Non-elective admissions - CCG'!$D$5:$Q$215,11,0)*$H651</f>
        <v>6.8865420914116582</v>
      </c>
      <c r="S651" s="384">
        <f>VLOOKUP($A651,'8.Non-elective admissions - CCG'!$D$5:$Q$215,12,0)*$H651</f>
        <v>6.4956945002368887</v>
      </c>
      <c r="T651" s="384">
        <f>VLOOKUP($A651,'8.Non-elective admissions - CCG'!$D$5:$Q$215,13,0)*$H651</f>
        <v>6.9559768549153818</v>
      </c>
      <c r="U651" s="384">
        <f>VLOOKUP($A651,'8.Non-elective admissions - CCG'!$D$5:$Q$215,14,0)*$H651</f>
        <v>6.4799140031466704</v>
      </c>
    </row>
    <row r="652" spans="1:21">
      <c r="A652" s="395" t="s">
        <v>528</v>
      </c>
      <c r="B652" s="395" t="s">
        <v>527</v>
      </c>
      <c r="C652" s="395" t="s">
        <v>739</v>
      </c>
      <c r="D652" s="395" t="s">
        <v>333</v>
      </c>
      <c r="E652" s="537">
        <f>COUNTIF($D$5:D652,D652)</f>
        <v>10</v>
      </c>
      <c r="F652" s="537" t="str">
        <f t="shared" si="20"/>
        <v>Northamptonshire10</v>
      </c>
      <c r="G652" s="541" t="str">
        <f t="shared" si="21"/>
        <v>NHS South Lincolnshire CCG</v>
      </c>
      <c r="H652" s="546">
        <v>8.9932752427003444E-3</v>
      </c>
      <c r="I652" s="546">
        <v>1.9246013800735262E-3</v>
      </c>
      <c r="J652" s="384">
        <f>VLOOKUP($A652,'8.Non-elective admissions - CCG'!$D$5:$N$215,3,0)*$H652</f>
        <v>31.413510422752303</v>
      </c>
      <c r="K652" s="384">
        <f>VLOOKUP($A652,'8.Non-elective admissions - CCG'!$D$5:$N$215,4,0)*$H652</f>
        <v>31.323577670325299</v>
      </c>
      <c r="L652" s="384">
        <f>VLOOKUP($A652,'8.Non-elective admissions - CCG'!$D$5:$N$215,5,0)*$H652</f>
        <v>34.46223073002772</v>
      </c>
      <c r="M652" s="384">
        <f>VLOOKUP($A652,'8.Non-elective admissions - CCG'!$D$5:$N$215,6,0)*$H652</f>
        <v>33.275118397991271</v>
      </c>
      <c r="N652" s="384">
        <f>VLOOKUP($A652,'8.Non-elective admissions - CCG'!$D$5:$N$215,7,0)*$H652</f>
        <v>30.878692914338451</v>
      </c>
      <c r="O652" s="384">
        <f>VLOOKUP($A652,'8.Non-elective admissions - CCG'!$D$5:$N$215,8,0)*$H652</f>
        <v>29.130916674874715</v>
      </c>
      <c r="P652" s="384">
        <f>VLOOKUP($A652,'8.Non-elective admissions - CCG'!$D$5:$N$215,9,0)*$H652</f>
        <v>31.189351094978395</v>
      </c>
      <c r="Q652" s="384">
        <f>VLOOKUP($A652,'8.Non-elective admissions - CCG'!$D$5:$N$215,10,0)*$H652</f>
        <v>29.060479107778406</v>
      </c>
      <c r="R652" s="384">
        <f>VLOOKUP($A652,'8.Non-elective admissions - CCG'!$D$5:$Q$215,11,0)*$H652</f>
        <v>30.473475248540275</v>
      </c>
      <c r="S652" s="384">
        <f>VLOOKUP($A652,'8.Non-elective admissions - CCG'!$D$5:$Q$215,12,0)*$H652</f>
        <v>28.743944776277612</v>
      </c>
      <c r="T652" s="384">
        <f>VLOOKUP($A652,'8.Non-elective admissions - CCG'!$D$5:$Q$215,13,0)*$H652</f>
        <v>30.780729385512409</v>
      </c>
      <c r="U652" s="384">
        <f>VLOOKUP($A652,'8.Non-elective admissions - CCG'!$D$5:$Q$215,14,0)*$H652</f>
        <v>28.674114870193371</v>
      </c>
    </row>
    <row r="653" spans="1:21">
      <c r="A653" s="395" t="s">
        <v>528</v>
      </c>
      <c r="B653" s="395" t="s">
        <v>527</v>
      </c>
      <c r="C653" s="395" t="s">
        <v>745</v>
      </c>
      <c r="D653" s="395" t="s">
        <v>351</v>
      </c>
      <c r="E653" s="537">
        <f>COUNTIF($D$5:D653,D653)</f>
        <v>2</v>
      </c>
      <c r="F653" s="537" t="str">
        <f t="shared" si="20"/>
        <v>Peterborough2</v>
      </c>
      <c r="G653" s="541" t="str">
        <f t="shared" si="21"/>
        <v>NHS South Lincolnshire CCG</v>
      </c>
      <c r="H653" s="546">
        <v>5.1908662630983607E-2</v>
      </c>
      <c r="I653" s="546">
        <v>3.9860830720329886E-2</v>
      </c>
      <c r="J653" s="384">
        <f>VLOOKUP($A653,'8.Non-elective admissions - CCG'!$D$5:$N$215,3,0)*$H653</f>
        <v>181.31695857002575</v>
      </c>
      <c r="K653" s="384">
        <f>VLOOKUP($A653,'8.Non-elective admissions - CCG'!$D$5:$N$215,4,0)*$H653</f>
        <v>180.7978719437159</v>
      </c>
      <c r="L653" s="384">
        <f>VLOOKUP($A653,'8.Non-elective admissions - CCG'!$D$5:$N$215,5,0)*$H653</f>
        <v>198.91399520192917</v>
      </c>
      <c r="M653" s="384">
        <f>VLOOKUP($A653,'8.Non-elective admissions - CCG'!$D$5:$N$215,6,0)*$H653</f>
        <v>192.06205173463934</v>
      </c>
      <c r="N653" s="384">
        <f>VLOOKUP($A653,'8.Non-elective admissions - CCG'!$D$5:$N$215,7,0)*$H653</f>
        <v>178.23002295822718</v>
      </c>
      <c r="O653" s="384">
        <f>VLOOKUP($A653,'8.Non-elective admissions - CCG'!$D$5:$N$215,8,0)*$H653</f>
        <v>168.14195996444619</v>
      </c>
      <c r="P653" s="384">
        <f>VLOOKUP($A653,'8.Non-elective admissions - CCG'!$D$5:$N$215,9,0)*$H653</f>
        <v>180.02312394281932</v>
      </c>
      <c r="Q653" s="384">
        <f>VLOOKUP($A653,'8.Non-elective admissions - CCG'!$D$5:$N$215,10,0)*$H653</f>
        <v>167.73539841614738</v>
      </c>
      <c r="R653" s="384">
        <f>VLOOKUP($A653,'8.Non-elective admissions - CCG'!$D$5:$Q$215,11,0)*$H653</f>
        <v>175.89113011458767</v>
      </c>
      <c r="S653" s="384">
        <f>VLOOKUP($A653,'8.Non-elective admissions - CCG'!$D$5:$Q$215,12,0)*$H653</f>
        <v>165.90838062990366</v>
      </c>
      <c r="T653" s="384">
        <f>VLOOKUP($A653,'8.Non-elective admissions - CCG'!$D$5:$Q$215,13,0)*$H653</f>
        <v>177.66458315673782</v>
      </c>
      <c r="U653" s="384">
        <f>VLOOKUP($A653,'8.Non-elective admissions - CCG'!$D$5:$Q$215,14,0)*$H653</f>
        <v>165.5053264656911</v>
      </c>
    </row>
    <row r="654" spans="1:21">
      <c r="A654" s="395" t="s">
        <v>528</v>
      </c>
      <c r="B654" s="395" t="s">
        <v>527</v>
      </c>
      <c r="C654" s="395" t="s">
        <v>754</v>
      </c>
      <c r="D654" s="395" t="s">
        <v>378</v>
      </c>
      <c r="E654" s="537">
        <f>COUNTIF($D$5:D654,D654)</f>
        <v>4</v>
      </c>
      <c r="F654" s="537" t="str">
        <f t="shared" si="20"/>
        <v>Rutland4</v>
      </c>
      <c r="G654" s="541" t="str">
        <f t="shared" si="21"/>
        <v>NHS South Lincolnshire CCG</v>
      </c>
      <c r="H654" s="546">
        <v>2.7607552610970927E-2</v>
      </c>
      <c r="I654" s="546">
        <v>0.12143579649525686</v>
      </c>
      <c r="J654" s="384">
        <f>VLOOKUP($A654,'8.Non-elective admissions - CCG'!$D$5:$N$215,3,0)*$H654</f>
        <v>96.433181270121452</v>
      </c>
      <c r="K654" s="384">
        <f>VLOOKUP($A654,'8.Non-elective admissions - CCG'!$D$5:$N$215,4,0)*$H654</f>
        <v>96.157105744011744</v>
      </c>
      <c r="L654" s="384">
        <f>VLOOKUP($A654,'8.Non-elective admissions - CCG'!$D$5:$N$215,5,0)*$H654</f>
        <v>105.79214160524059</v>
      </c>
      <c r="M654" s="384">
        <f>VLOOKUP($A654,'8.Non-elective admissions - CCG'!$D$5:$N$215,6,0)*$H654</f>
        <v>102.14794466059243</v>
      </c>
      <c r="N654" s="384">
        <f>VLOOKUP($A654,'8.Non-elective admissions - CCG'!$D$5:$N$215,7,0)*$H654</f>
        <v>94.79139870455522</v>
      </c>
      <c r="O654" s="384">
        <f>VLOOKUP($A654,'8.Non-elective admissions - CCG'!$D$5:$N$215,8,0)*$H654</f>
        <v>89.426075929366618</v>
      </c>
      <c r="P654" s="384">
        <f>VLOOKUP($A654,'8.Non-elective admissions - CCG'!$D$5:$N$215,9,0)*$H654</f>
        <v>95.745057058668991</v>
      </c>
      <c r="Q654" s="384">
        <f>VLOOKUP($A654,'8.Non-elective admissions - CCG'!$D$5:$N$215,10,0)*$H654</f>
        <v>89.209846715101378</v>
      </c>
      <c r="R654" s="384">
        <f>VLOOKUP($A654,'8.Non-elective admissions - CCG'!$D$5:$Q$215,11,0)*$H654</f>
        <v>93.547461682111887</v>
      </c>
      <c r="S654" s="384">
        <f>VLOOKUP($A654,'8.Non-elective admissions - CCG'!$D$5:$Q$215,12,0)*$H654</f>
        <v>88.2381497555115</v>
      </c>
      <c r="T654" s="384">
        <f>VLOOKUP($A654,'8.Non-elective admissions - CCG'!$D$5:$Q$215,13,0)*$H654</f>
        <v>94.490670304385702</v>
      </c>
      <c r="U654" s="384">
        <f>VLOOKUP($A654,'8.Non-elective admissions - CCG'!$D$5:$Q$215,14,0)*$H654</f>
        <v>88.023785938769151</v>
      </c>
    </row>
    <row r="655" spans="1:21">
      <c r="A655" s="395" t="s">
        <v>530</v>
      </c>
      <c r="B655" s="395" t="s">
        <v>529</v>
      </c>
      <c r="C655" s="395" t="s">
        <v>726</v>
      </c>
      <c r="D655" s="395" t="s">
        <v>294</v>
      </c>
      <c r="E655" s="537">
        <f>COUNTIF($D$5:D655,D655)</f>
        <v>7</v>
      </c>
      <c r="F655" s="537" t="str">
        <f t="shared" si="20"/>
        <v>Manchester7</v>
      </c>
      <c r="G655" s="541" t="str">
        <f t="shared" si="21"/>
        <v>NHS South Manchester CCG</v>
      </c>
      <c r="H655" s="546">
        <v>0.94036029855336478</v>
      </c>
      <c r="I655" s="546">
        <v>0.28733037807009137</v>
      </c>
      <c r="J655" s="384">
        <f>VLOOKUP($A655,'8.Non-elective admissions - CCG'!$D$5:$N$215,3,0)*$H655</f>
        <v>4241.9653067742283</v>
      </c>
      <c r="K655" s="384">
        <f>VLOOKUP($A655,'8.Non-elective admissions - CCG'!$D$5:$N$215,4,0)*$H655</f>
        <v>4272.0568363279363</v>
      </c>
      <c r="L655" s="384">
        <f>VLOOKUP($A655,'8.Non-elective admissions - CCG'!$D$5:$N$215,5,0)*$H655</f>
        <v>4535.3577199228785</v>
      </c>
      <c r="M655" s="384">
        <f>VLOOKUP($A655,'8.Non-elective admissions - CCG'!$D$5:$N$215,6,0)*$H655</f>
        <v>4335.0609763310113</v>
      </c>
      <c r="N655" s="384">
        <f>VLOOKUP($A655,'8.Non-elective admissions - CCG'!$D$5:$N$215,7,0)*$H655</f>
        <v>4206.2316154292002</v>
      </c>
      <c r="O655" s="384">
        <f>VLOOKUP($A655,'8.Non-elective admissions - CCG'!$D$5:$N$215,8,0)*$H655</f>
        <v>4232.561703788695</v>
      </c>
      <c r="P655" s="384">
        <f>VLOOKUP($A655,'8.Non-elective admissions - CCG'!$D$5:$N$215,9,0)*$H655</f>
        <v>4496.8029476821903</v>
      </c>
      <c r="Q655" s="384">
        <f>VLOOKUP($A655,'8.Non-elective admissions - CCG'!$D$5:$N$215,10,0)*$H655</f>
        <v>4215.6352184147345</v>
      </c>
      <c r="R655" s="384">
        <f>VLOOKUP($A655,'8.Non-elective admissions - CCG'!$D$5:$Q$215,11,0)*$H655</f>
        <v>4079.2829751244963</v>
      </c>
      <c r="S655" s="384">
        <f>VLOOKUP($A655,'8.Non-elective admissions - CCG'!$D$5:$Q$215,12,0)*$H655</f>
        <v>4110.3148649767572</v>
      </c>
      <c r="T655" s="384">
        <f>VLOOKUP($A655,'8.Non-elective admissions - CCG'!$D$5:$Q$215,13,0)*$H655</f>
        <v>4362.3314249890591</v>
      </c>
      <c r="U655" s="384">
        <f>VLOOKUP($A655,'8.Non-elective admissions - CCG'!$D$5:$Q$215,14,0)*$H655</f>
        <v>4088.68657811003</v>
      </c>
    </row>
    <row r="656" spans="1:21">
      <c r="A656" s="395" t="s">
        <v>530</v>
      </c>
      <c r="B656" s="395" t="s">
        <v>529</v>
      </c>
      <c r="C656" s="395" t="s">
        <v>770</v>
      </c>
      <c r="D656" s="395" t="s">
        <v>426</v>
      </c>
      <c r="E656" s="537">
        <f>COUNTIF($D$5:D656,D656)</f>
        <v>3</v>
      </c>
      <c r="F656" s="537" t="str">
        <f t="shared" si="20"/>
        <v>Stockport3</v>
      </c>
      <c r="G656" s="541" t="str">
        <f t="shared" si="21"/>
        <v>NHS South Manchester CCG</v>
      </c>
      <c r="H656" s="546">
        <v>2.9464993316852182E-2</v>
      </c>
      <c r="I656" s="546">
        <v>1.6621348858158039E-2</v>
      </c>
      <c r="J656" s="384">
        <f>VLOOKUP($A656,'8.Non-elective admissions - CCG'!$D$5:$N$215,3,0)*$H656</f>
        <v>132.9165848523202</v>
      </c>
      <c r="K656" s="384">
        <f>VLOOKUP($A656,'8.Non-elective admissions - CCG'!$D$5:$N$215,4,0)*$H656</f>
        <v>133.85946463845946</v>
      </c>
      <c r="L656" s="384">
        <f>VLOOKUP($A656,'8.Non-elective admissions - CCG'!$D$5:$N$215,5,0)*$H656</f>
        <v>142.10966276717807</v>
      </c>
      <c r="M656" s="384">
        <f>VLOOKUP($A656,'8.Non-elective admissions - CCG'!$D$5:$N$215,6,0)*$H656</f>
        <v>135.83361919068855</v>
      </c>
      <c r="N656" s="384">
        <f>VLOOKUP($A656,'8.Non-elective admissions - CCG'!$D$5:$N$215,7,0)*$H656</f>
        <v>131.79691510627981</v>
      </c>
      <c r="O656" s="384">
        <f>VLOOKUP($A656,'8.Non-elective admissions - CCG'!$D$5:$N$215,8,0)*$H656</f>
        <v>132.62193491915167</v>
      </c>
      <c r="P656" s="384">
        <f>VLOOKUP($A656,'8.Non-elective admissions - CCG'!$D$5:$N$215,9,0)*$H656</f>
        <v>140.90159804118713</v>
      </c>
      <c r="Q656" s="384">
        <f>VLOOKUP($A656,'8.Non-elective admissions - CCG'!$D$5:$N$215,10,0)*$H656</f>
        <v>132.09156503944834</v>
      </c>
      <c r="R656" s="384">
        <f>VLOOKUP($A656,'8.Non-elective admissions - CCG'!$D$5:$Q$215,11,0)*$H656</f>
        <v>127.81914100850476</v>
      </c>
      <c r="S656" s="384">
        <f>VLOOKUP($A656,'8.Non-elective admissions - CCG'!$D$5:$Q$215,12,0)*$H656</f>
        <v>128.79148578796088</v>
      </c>
      <c r="T656" s="384">
        <f>VLOOKUP($A656,'8.Non-elective admissions - CCG'!$D$5:$Q$215,13,0)*$H656</f>
        <v>136.68810399687726</v>
      </c>
      <c r="U656" s="384">
        <f>VLOOKUP($A656,'8.Non-elective admissions - CCG'!$D$5:$Q$215,14,0)*$H656</f>
        <v>128.11379094167327</v>
      </c>
    </row>
    <row r="657" spans="1:21">
      <c r="A657" s="395" t="s">
        <v>530</v>
      </c>
      <c r="B657" s="395" t="s">
        <v>529</v>
      </c>
      <c r="C657" s="395" t="s">
        <v>783</v>
      </c>
      <c r="D657" s="395" t="s">
        <v>465</v>
      </c>
      <c r="E657" s="537">
        <f>COUNTIF($D$5:D657,D657)</f>
        <v>3</v>
      </c>
      <c r="F657" s="537" t="str">
        <f t="shared" si="20"/>
        <v>Trafford3</v>
      </c>
      <c r="G657" s="541" t="str">
        <f t="shared" si="21"/>
        <v>NHS South Manchester CCG</v>
      </c>
      <c r="H657" s="546">
        <v>3.0174708129783186E-2</v>
      </c>
      <c r="I657" s="546">
        <v>2.1096592788620572E-2</v>
      </c>
      <c r="J657" s="384">
        <f>VLOOKUP($A657,'8.Non-elective admissions - CCG'!$D$5:$N$215,3,0)*$H657</f>
        <v>136.11810837345195</v>
      </c>
      <c r="K657" s="384">
        <f>VLOOKUP($A657,'8.Non-elective admissions - CCG'!$D$5:$N$215,4,0)*$H657</f>
        <v>137.083699033605</v>
      </c>
      <c r="L657" s="384">
        <f>VLOOKUP($A657,'8.Non-elective admissions - CCG'!$D$5:$N$215,5,0)*$H657</f>
        <v>145.5326173099443</v>
      </c>
      <c r="M657" s="384">
        <f>VLOOKUP($A657,'8.Non-elective admissions - CCG'!$D$5:$N$215,6,0)*$H657</f>
        <v>139.1054044783005</v>
      </c>
      <c r="N657" s="384">
        <f>VLOOKUP($A657,'8.Non-elective admissions - CCG'!$D$5:$N$215,7,0)*$H657</f>
        <v>134.9714694645202</v>
      </c>
      <c r="O657" s="384">
        <f>VLOOKUP($A657,'8.Non-elective admissions - CCG'!$D$5:$N$215,8,0)*$H657</f>
        <v>135.81636129215411</v>
      </c>
      <c r="P657" s="384">
        <f>VLOOKUP($A657,'8.Non-elective admissions - CCG'!$D$5:$N$215,9,0)*$H657</f>
        <v>144.29545427662319</v>
      </c>
      <c r="Q657" s="384">
        <f>VLOOKUP($A657,'8.Non-elective admissions - CCG'!$D$5:$N$215,10,0)*$H657</f>
        <v>135.27321654581803</v>
      </c>
      <c r="R657" s="384">
        <f>VLOOKUP($A657,'8.Non-elective admissions - CCG'!$D$5:$Q$215,11,0)*$H657</f>
        <v>130.89788386699945</v>
      </c>
      <c r="S657" s="384">
        <f>VLOOKUP($A657,'8.Non-elective admissions - CCG'!$D$5:$Q$215,12,0)*$H657</f>
        <v>131.89364923528231</v>
      </c>
      <c r="T657" s="384">
        <f>VLOOKUP($A657,'8.Non-elective admissions - CCG'!$D$5:$Q$215,13,0)*$H657</f>
        <v>139.98047101406419</v>
      </c>
      <c r="U657" s="384">
        <f>VLOOKUP($A657,'8.Non-elective admissions - CCG'!$D$5:$Q$215,14,0)*$H657</f>
        <v>131.19963094829728</v>
      </c>
    </row>
    <row r="658" spans="1:21">
      <c r="A658" s="395" t="s">
        <v>532</v>
      </c>
      <c r="B658" s="395" t="s">
        <v>531</v>
      </c>
      <c r="C658" s="395" t="s">
        <v>733</v>
      </c>
      <c r="D658" s="395" t="s">
        <v>315</v>
      </c>
      <c r="E658" s="537">
        <f>COUNTIF($D$5:D658,D658)</f>
        <v>7</v>
      </c>
      <c r="F658" s="537" t="str">
        <f t="shared" si="20"/>
        <v>Norfolk7</v>
      </c>
      <c r="G658" s="541" t="str">
        <f t="shared" si="21"/>
        <v>NHS South Norfolk CCG</v>
      </c>
      <c r="H658" s="546">
        <v>0.98728404920558033</v>
      </c>
      <c r="I658" s="546">
        <v>0.25184194913226077</v>
      </c>
      <c r="J658" s="384">
        <f>VLOOKUP($A658,'8.Non-elective admissions - CCG'!$D$5:$N$215,3,0)*$H658</f>
        <v>5168.4319975912131</v>
      </c>
      <c r="K658" s="384">
        <f>VLOOKUP($A658,'8.Non-elective admissions - CCG'!$D$5:$N$215,4,0)*$H658</f>
        <v>5273.0841068070049</v>
      </c>
      <c r="L658" s="384">
        <f>VLOOKUP($A658,'8.Non-elective admissions - CCG'!$D$5:$N$215,5,0)*$H658</f>
        <v>5268.1476865609766</v>
      </c>
      <c r="M658" s="384">
        <f>VLOOKUP($A658,'8.Non-elective admissions - CCG'!$D$5:$N$215,6,0)*$H658</f>
        <v>5428.0877025322807</v>
      </c>
      <c r="N658" s="384">
        <f>VLOOKUP($A658,'8.Non-elective admissions - CCG'!$D$5:$N$215,7,0)*$H658</f>
        <v>5477.4519049925593</v>
      </c>
      <c r="O658" s="384">
        <f>VLOOKUP($A658,'8.Non-elective admissions - CCG'!$D$5:$N$215,8,0)*$H658</f>
        <v>5436.9732589751311</v>
      </c>
      <c r="P658" s="384">
        <f>VLOOKUP($A658,'8.Non-elective admissions - CCG'!$D$5:$N$215,9,0)*$H658</f>
        <v>5431.0495546798975</v>
      </c>
      <c r="Q658" s="384">
        <f>VLOOKUP($A658,'8.Non-elective admissions - CCG'!$D$5:$N$215,10,0)*$H658</f>
        <v>5478.4391890417655</v>
      </c>
      <c r="R658" s="384">
        <f>VLOOKUP($A658,'8.Non-elective admissions - CCG'!$D$5:$Q$215,11,0)*$H658</f>
        <v>5472.5154847465319</v>
      </c>
      <c r="S658" s="384">
        <f>VLOOKUP($A658,'8.Non-elective admissions - CCG'!$D$5:$Q$215,12,0)*$H658</f>
        <v>5430.0622706306922</v>
      </c>
      <c r="T658" s="384">
        <f>VLOOKUP($A658,'8.Non-elective admissions - CCG'!$D$5:$Q$215,13,0)*$H658</f>
        <v>5424.1385663354586</v>
      </c>
      <c r="U658" s="384">
        <f>VLOOKUP($A658,'8.Non-elective admissions - CCG'!$D$5:$Q$215,14,0)*$H658</f>
        <v>5472.5154847465319</v>
      </c>
    </row>
    <row r="659" spans="1:21">
      <c r="A659" s="395" t="s">
        <v>532</v>
      </c>
      <c r="B659" s="395" t="s">
        <v>531</v>
      </c>
      <c r="C659" s="395" t="s">
        <v>773</v>
      </c>
      <c r="D659" s="395" t="s">
        <v>435</v>
      </c>
      <c r="E659" s="537">
        <f>COUNTIF($D$5:D659,D659)</f>
        <v>5</v>
      </c>
      <c r="F659" s="537" t="str">
        <f t="shared" si="20"/>
        <v>Suffolk5</v>
      </c>
      <c r="G659" s="541" t="str">
        <f t="shared" si="21"/>
        <v>NHS South Norfolk CCG</v>
      </c>
      <c r="H659" s="546">
        <v>1.2715950794419643E-2</v>
      </c>
      <c r="I659" s="546">
        <v>3.908618275271886E-3</v>
      </c>
      <c r="J659" s="384">
        <f>VLOOKUP($A659,'8.Non-elective admissions - CCG'!$D$5:$N$215,3,0)*$H659</f>
        <v>66.568002408786825</v>
      </c>
      <c r="K659" s="384">
        <f>VLOOKUP($A659,'8.Non-elective admissions - CCG'!$D$5:$N$215,4,0)*$H659</f>
        <v>67.915893192995313</v>
      </c>
      <c r="L659" s="384">
        <f>VLOOKUP($A659,'8.Non-elective admissions - CCG'!$D$5:$N$215,5,0)*$H659</f>
        <v>67.85231343902322</v>
      </c>
      <c r="M659" s="384">
        <f>VLOOKUP($A659,'8.Non-elective admissions - CCG'!$D$5:$N$215,6,0)*$H659</f>
        <v>69.912297467719199</v>
      </c>
      <c r="N659" s="384">
        <f>VLOOKUP($A659,'8.Non-elective admissions - CCG'!$D$5:$N$215,7,0)*$H659</f>
        <v>70.548095007440182</v>
      </c>
      <c r="O659" s="384">
        <f>VLOOKUP($A659,'8.Non-elective admissions - CCG'!$D$5:$N$215,8,0)*$H659</f>
        <v>70.026741024868969</v>
      </c>
      <c r="P659" s="384">
        <f>VLOOKUP($A659,'8.Non-elective admissions - CCG'!$D$5:$N$215,9,0)*$H659</f>
        <v>69.95044532010246</v>
      </c>
      <c r="Q659" s="384">
        <f>VLOOKUP($A659,'8.Non-elective admissions - CCG'!$D$5:$N$215,10,0)*$H659</f>
        <v>70.560810958234597</v>
      </c>
      <c r="R659" s="384">
        <f>VLOOKUP($A659,'8.Non-elective admissions - CCG'!$D$5:$Q$215,11,0)*$H659</f>
        <v>70.484515253468075</v>
      </c>
      <c r="S659" s="384">
        <f>VLOOKUP($A659,'8.Non-elective admissions - CCG'!$D$5:$Q$215,12,0)*$H659</f>
        <v>69.93772936930803</v>
      </c>
      <c r="T659" s="384">
        <f>VLOOKUP($A659,'8.Non-elective admissions - CCG'!$D$5:$Q$215,13,0)*$H659</f>
        <v>69.861433664541522</v>
      </c>
      <c r="U659" s="384">
        <f>VLOOKUP($A659,'8.Non-elective admissions - CCG'!$D$5:$Q$215,14,0)*$H659</f>
        <v>70.484515253468075</v>
      </c>
    </row>
    <row r="660" spans="1:21">
      <c r="A660" s="395" t="s">
        <v>534</v>
      </c>
      <c r="B660" s="395" t="s">
        <v>533</v>
      </c>
      <c r="C660" s="395" t="s">
        <v>748</v>
      </c>
      <c r="D660" s="395" t="s">
        <v>360</v>
      </c>
      <c r="E660" s="537">
        <f>COUNTIF($D$5:D660,D660)</f>
        <v>3</v>
      </c>
      <c r="F660" s="537" t="str">
        <f t="shared" si="20"/>
        <v>Reading3</v>
      </c>
      <c r="G660" s="541" t="str">
        <f t="shared" si="21"/>
        <v>NHS South Reading CCG</v>
      </c>
      <c r="H660" s="546">
        <v>0.80045981847688874</v>
      </c>
      <c r="I660" s="546">
        <v>0.59371168721160916</v>
      </c>
      <c r="J660" s="384">
        <f>VLOOKUP($A660,'8.Non-elective admissions - CCG'!$D$5:$N$215,3,0)*$H660</f>
        <v>1573.7040031255633</v>
      </c>
      <c r="K660" s="384">
        <f>VLOOKUP($A660,'8.Non-elective admissions - CCG'!$D$5:$N$215,4,0)*$H660</f>
        <v>1508.8667578289353</v>
      </c>
      <c r="L660" s="384">
        <f>VLOOKUP($A660,'8.Non-elective admissions - CCG'!$D$5:$N$215,5,0)*$H660</f>
        <v>1686.5688375308046</v>
      </c>
      <c r="M660" s="384">
        <f>VLOOKUP($A660,'8.Non-elective admissions - CCG'!$D$5:$N$215,6,0)*$H660</f>
        <v>1692.9725160786197</v>
      </c>
      <c r="N660" s="384">
        <f>VLOOKUP($A660,'8.Non-elective admissions - CCG'!$D$5:$N$215,7,0)*$H660</f>
        <v>1600.9196369537774</v>
      </c>
      <c r="O660" s="384">
        <f>VLOOKUP($A660,'8.Non-elective admissions - CCG'!$D$5:$N$215,8,0)*$H660</f>
        <v>1556.0938871190717</v>
      </c>
      <c r="P660" s="384">
        <f>VLOOKUP($A660,'8.Non-elective admissions - CCG'!$D$5:$N$215,9,0)*$H660</f>
        <v>1624.9334315080841</v>
      </c>
      <c r="Q660" s="384">
        <f>VLOOKUP($A660,'8.Non-elective admissions - CCG'!$D$5:$N$215,10,0)*$H660</f>
        <v>1521.6741149245654</v>
      </c>
      <c r="R660" s="384">
        <f>VLOOKUP($A660,'8.Non-elective admissions - CCG'!$D$5:$Q$215,11,0)*$H660</f>
        <v>1576.9058423994709</v>
      </c>
      <c r="S660" s="384">
        <f>VLOOKUP($A660,'8.Non-elective admissions - CCG'!$D$5:$Q$215,12,0)*$H660</f>
        <v>1562.4975656668869</v>
      </c>
      <c r="T660" s="384">
        <f>VLOOKUP($A660,'8.Non-elective admissions - CCG'!$D$5:$Q$215,13,0)*$H660</f>
        <v>1631.3371100558993</v>
      </c>
      <c r="U660" s="384">
        <f>VLOOKUP($A660,'8.Non-elective admissions - CCG'!$D$5:$Q$215,14,0)*$H660</f>
        <v>1558.4952665745025</v>
      </c>
    </row>
    <row r="661" spans="1:21">
      <c r="A661" s="395" t="s">
        <v>534</v>
      </c>
      <c r="B661" s="395" t="s">
        <v>533</v>
      </c>
      <c r="C661" s="395" t="s">
        <v>790</v>
      </c>
      <c r="D661" s="395" t="s">
        <v>486</v>
      </c>
      <c r="E661" s="537">
        <f>COUNTIF($D$5:D661,D661)</f>
        <v>5</v>
      </c>
      <c r="F661" s="537" t="str">
        <f t="shared" si="20"/>
        <v>West Berkshire5</v>
      </c>
      <c r="G661" s="541" t="str">
        <f t="shared" si="21"/>
        <v>NHS South Reading CCG</v>
      </c>
      <c r="H661" s="546">
        <v>9.3601610867343865E-2</v>
      </c>
      <c r="I661" s="546">
        <v>7.6295579535293909E-2</v>
      </c>
      <c r="J661" s="384">
        <f>VLOOKUP($A661,'8.Non-elective admissions - CCG'!$D$5:$N$215,3,0)*$H661</f>
        <v>184.02076696519805</v>
      </c>
      <c r="K661" s="384">
        <f>VLOOKUP($A661,'8.Non-elective admissions - CCG'!$D$5:$N$215,4,0)*$H661</f>
        <v>176.43903648494319</v>
      </c>
      <c r="L661" s="384">
        <f>VLOOKUP($A661,'8.Non-elective admissions - CCG'!$D$5:$N$215,5,0)*$H661</f>
        <v>197.21859409749354</v>
      </c>
      <c r="M661" s="384">
        <f>VLOOKUP($A661,'8.Non-elective admissions - CCG'!$D$5:$N$215,6,0)*$H661</f>
        <v>197.96740698443227</v>
      </c>
      <c r="N661" s="384">
        <f>VLOOKUP($A661,'8.Non-elective admissions - CCG'!$D$5:$N$215,7,0)*$H661</f>
        <v>187.20322173468773</v>
      </c>
      <c r="O661" s="384">
        <f>VLOOKUP($A661,'8.Non-elective admissions - CCG'!$D$5:$N$215,8,0)*$H661</f>
        <v>181.96153152611646</v>
      </c>
      <c r="P661" s="384">
        <f>VLOOKUP($A661,'8.Non-elective admissions - CCG'!$D$5:$N$215,9,0)*$H661</f>
        <v>190.01127006070806</v>
      </c>
      <c r="Q661" s="384">
        <f>VLOOKUP($A661,'8.Non-elective admissions - CCG'!$D$5:$N$215,10,0)*$H661</f>
        <v>177.93666225882069</v>
      </c>
      <c r="R661" s="384">
        <f>VLOOKUP($A661,'8.Non-elective admissions - CCG'!$D$5:$Q$215,11,0)*$H661</f>
        <v>184.3951734086674</v>
      </c>
      <c r="S661" s="384">
        <f>VLOOKUP($A661,'8.Non-elective admissions - CCG'!$D$5:$Q$215,12,0)*$H661</f>
        <v>182.71034441305522</v>
      </c>
      <c r="T661" s="384">
        <f>VLOOKUP($A661,'8.Non-elective admissions - CCG'!$D$5:$Q$215,13,0)*$H661</f>
        <v>190.76008294764679</v>
      </c>
      <c r="U661" s="384">
        <f>VLOOKUP($A661,'8.Non-elective admissions - CCG'!$D$5:$Q$215,14,0)*$H661</f>
        <v>182.24233635871852</v>
      </c>
    </row>
    <row r="662" spans="1:21">
      <c r="A662" s="395" t="s">
        <v>534</v>
      </c>
      <c r="B662" s="395" t="s">
        <v>533</v>
      </c>
      <c r="C662" s="395" t="s">
        <v>797</v>
      </c>
      <c r="D662" s="395" t="s">
        <v>507</v>
      </c>
      <c r="E662" s="537">
        <f>COUNTIF($D$5:D662,D662)</f>
        <v>4</v>
      </c>
      <c r="F662" s="537" t="str">
        <f t="shared" si="20"/>
        <v>Wokingham4</v>
      </c>
      <c r="G662" s="541" t="str">
        <f t="shared" si="21"/>
        <v>NHS South Reading CCG</v>
      </c>
      <c r="H662" s="546">
        <v>0.10593857065576726</v>
      </c>
      <c r="I662" s="546">
        <v>8.4455918203544755E-2</v>
      </c>
      <c r="J662" s="384">
        <f>VLOOKUP($A662,'8.Non-elective admissions - CCG'!$D$5:$N$215,3,0)*$H662</f>
        <v>208.27522990923842</v>
      </c>
      <c r="K662" s="384">
        <f>VLOOKUP($A662,'8.Non-elective admissions - CCG'!$D$5:$N$215,4,0)*$H662</f>
        <v>199.69420568612128</v>
      </c>
      <c r="L662" s="384">
        <f>VLOOKUP($A662,'8.Non-elective admissions - CCG'!$D$5:$N$215,5,0)*$H662</f>
        <v>223.21256837170162</v>
      </c>
      <c r="M662" s="384">
        <f>VLOOKUP($A662,'8.Non-elective admissions - CCG'!$D$5:$N$215,6,0)*$H662</f>
        <v>224.06007693694775</v>
      </c>
      <c r="N662" s="384">
        <f>VLOOKUP($A662,'8.Non-elective admissions - CCG'!$D$5:$N$215,7,0)*$H662</f>
        <v>211.8771413115345</v>
      </c>
      <c r="O662" s="384">
        <f>VLOOKUP($A662,'8.Non-elective admissions - CCG'!$D$5:$N$215,8,0)*$H662</f>
        <v>205.94458135481153</v>
      </c>
      <c r="P662" s="384">
        <f>VLOOKUP($A662,'8.Non-elective admissions - CCG'!$D$5:$N$215,9,0)*$H662</f>
        <v>215.05529843120752</v>
      </c>
      <c r="Q662" s="384">
        <f>VLOOKUP($A662,'8.Non-elective admissions - CCG'!$D$5:$N$215,10,0)*$H662</f>
        <v>201.38922281661354</v>
      </c>
      <c r="R662" s="384">
        <f>VLOOKUP($A662,'8.Non-elective admissions - CCG'!$D$5:$Q$215,11,0)*$H662</f>
        <v>208.69898419186148</v>
      </c>
      <c r="S662" s="384">
        <f>VLOOKUP($A662,'8.Non-elective admissions - CCG'!$D$5:$Q$215,12,0)*$H662</f>
        <v>206.79208992005769</v>
      </c>
      <c r="T662" s="384">
        <f>VLOOKUP($A662,'8.Non-elective admissions - CCG'!$D$5:$Q$215,13,0)*$H662</f>
        <v>215.90280699645368</v>
      </c>
      <c r="U662" s="384">
        <f>VLOOKUP($A662,'8.Non-elective admissions - CCG'!$D$5:$Q$215,14,0)*$H662</f>
        <v>206.26239706677885</v>
      </c>
    </row>
    <row r="663" spans="1:21">
      <c r="A663" s="395" t="s">
        <v>536</v>
      </c>
      <c r="B663" s="395" t="s">
        <v>535</v>
      </c>
      <c r="C663" s="395" t="s">
        <v>716</v>
      </c>
      <c r="D663" s="395" t="s">
        <v>264</v>
      </c>
      <c r="E663" s="537">
        <f>COUNTIF($D$5:D663,D663)</f>
        <v>4</v>
      </c>
      <c r="F663" s="537" t="str">
        <f t="shared" si="20"/>
        <v>Knowsley4</v>
      </c>
      <c r="G663" s="541" t="str">
        <f t="shared" si="21"/>
        <v>NHS South Sefton CCG</v>
      </c>
      <c r="H663" s="546">
        <v>1.3443987693580494E-3</v>
      </c>
      <c r="I663" s="546">
        <v>1.3090487998288168E-3</v>
      </c>
      <c r="J663" s="384">
        <f>VLOOKUP($A663,'8.Non-elective admissions - CCG'!$D$5:$N$215,3,0)*$H663</f>
        <v>5.3023087463481469</v>
      </c>
      <c r="K663" s="384">
        <f>VLOOKUP($A663,'8.Non-elective admissions - CCG'!$D$5:$N$215,4,0)*$H663</f>
        <v>5.4636365986711128</v>
      </c>
      <c r="L663" s="384">
        <f>VLOOKUP($A663,'8.Non-elective admissions - CCG'!$D$5:$N$215,5,0)*$H663</f>
        <v>5.7002507820781299</v>
      </c>
      <c r="M663" s="384">
        <f>VLOOKUP($A663,'8.Non-elective admissions - CCG'!$D$5:$N$215,6,0)*$H663</f>
        <v>5.5940432792988437</v>
      </c>
      <c r="N663" s="384">
        <f>VLOOKUP($A663,'8.Non-elective admissions - CCG'!$D$5:$N$215,7,0)*$H663</f>
        <v>5.4582590035936809</v>
      </c>
      <c r="O663" s="384">
        <f>VLOOKUP($A663,'8.Non-elective admissions - CCG'!$D$5:$N$215,8,0)*$H663</f>
        <v>5.4717029912872608</v>
      </c>
      <c r="P663" s="384">
        <f>VLOOKUP($A663,'8.Non-elective admissions - CCG'!$D$5:$N$215,9,0)*$H663</f>
        <v>5.3923834638951362</v>
      </c>
      <c r="Q663" s="384">
        <f>VLOOKUP($A663,'8.Non-elective admissions - CCG'!$D$5:$N$215,10,0)*$H663</f>
        <v>5.4246490343597289</v>
      </c>
      <c r="R663" s="384">
        <f>VLOOKUP($A663,'8.Non-elective admissions - CCG'!$D$5:$Q$215,11,0)*$H663</f>
        <v>5.4044830528193586</v>
      </c>
      <c r="S663" s="384">
        <f>VLOOKUP($A663,'8.Non-elective admissions - CCG'!$D$5:$Q$215,12,0)*$H663</f>
        <v>5.4152382429742234</v>
      </c>
      <c r="T663" s="384">
        <f>VLOOKUP($A663,'8.Non-elective admissions - CCG'!$D$5:$Q$215,13,0)*$H663</f>
        <v>5.3386075131208139</v>
      </c>
      <c r="U663" s="384">
        <f>VLOOKUP($A663,'8.Non-elective admissions - CCG'!$D$5:$Q$215,14,0)*$H663</f>
        <v>5.3749062798934819</v>
      </c>
    </row>
    <row r="664" spans="1:21">
      <c r="A664" s="395" t="s">
        <v>536</v>
      </c>
      <c r="B664" s="395" t="s">
        <v>535</v>
      </c>
      <c r="C664" s="395" t="s">
        <v>718</v>
      </c>
      <c r="D664" s="395" t="s">
        <v>270</v>
      </c>
      <c r="E664" s="537">
        <f>COUNTIF($D$5:D664,D664)</f>
        <v>13</v>
      </c>
      <c r="F664" s="537" t="str">
        <f t="shared" si="20"/>
        <v>Lancashire13</v>
      </c>
      <c r="G664" s="541" t="str">
        <f t="shared" si="21"/>
        <v>NHS South Sefton CCG</v>
      </c>
      <c r="H664" s="546">
        <v>4.951007006385893E-3</v>
      </c>
      <c r="I664" s="546">
        <v>0</v>
      </c>
      <c r="J664" s="384">
        <f>VLOOKUP($A664,'8.Non-elective admissions - CCG'!$D$5:$N$215,3,0)*$H664</f>
        <v>19.526771633185962</v>
      </c>
      <c r="K664" s="384">
        <f>VLOOKUP($A664,'8.Non-elective admissions - CCG'!$D$5:$N$215,4,0)*$H664</f>
        <v>20.120892473952271</v>
      </c>
      <c r="L664" s="384">
        <f>VLOOKUP($A664,'8.Non-elective admissions - CCG'!$D$5:$N$215,5,0)*$H664</f>
        <v>20.992269707076186</v>
      </c>
      <c r="M664" s="384">
        <f>VLOOKUP($A664,'8.Non-elective admissions - CCG'!$D$5:$N$215,6,0)*$H664</f>
        <v>20.601140153571702</v>
      </c>
      <c r="N664" s="384">
        <f>VLOOKUP($A664,'8.Non-elective admissions - CCG'!$D$5:$N$215,7,0)*$H664</f>
        <v>20.101088445926724</v>
      </c>
      <c r="O664" s="384">
        <f>VLOOKUP($A664,'8.Non-elective admissions - CCG'!$D$5:$N$215,8,0)*$H664</f>
        <v>20.150598515990584</v>
      </c>
      <c r="P664" s="384">
        <f>VLOOKUP($A664,'8.Non-elective admissions - CCG'!$D$5:$N$215,9,0)*$H664</f>
        <v>19.858489102613817</v>
      </c>
      <c r="Q664" s="384">
        <f>VLOOKUP($A664,'8.Non-elective admissions - CCG'!$D$5:$N$215,10,0)*$H664</f>
        <v>19.977313270767077</v>
      </c>
      <c r="R664" s="384">
        <f>VLOOKUP($A664,'8.Non-elective admissions - CCG'!$D$5:$Q$215,11,0)*$H664</f>
        <v>19.90304816567129</v>
      </c>
      <c r="S664" s="384">
        <f>VLOOKUP($A664,'8.Non-elective admissions - CCG'!$D$5:$Q$215,12,0)*$H664</f>
        <v>19.942656221722377</v>
      </c>
      <c r="T664" s="384">
        <f>VLOOKUP($A664,'8.Non-elective admissions - CCG'!$D$5:$Q$215,13,0)*$H664</f>
        <v>19.660448822358383</v>
      </c>
      <c r="U664" s="384">
        <f>VLOOKUP($A664,'8.Non-elective admissions - CCG'!$D$5:$Q$215,14,0)*$H664</f>
        <v>19.7941260115308</v>
      </c>
    </row>
    <row r="665" spans="1:21">
      <c r="A665" s="395" t="s">
        <v>536</v>
      </c>
      <c r="B665" s="395" t="s">
        <v>535</v>
      </c>
      <c r="C665" s="395" t="s">
        <v>724</v>
      </c>
      <c r="D665" s="395" t="s">
        <v>288</v>
      </c>
      <c r="E665" s="537">
        <f>COUNTIF($D$5:D665,D665)</f>
        <v>3</v>
      </c>
      <c r="F665" s="537" t="str">
        <f t="shared" si="20"/>
        <v>Liverpool3</v>
      </c>
      <c r="G665" s="541" t="str">
        <f t="shared" si="21"/>
        <v>NHS South Sefton CCG</v>
      </c>
      <c r="H665" s="546">
        <v>3.245301067762868E-2</v>
      </c>
      <c r="I665" s="546">
        <v>1.0278529521345196E-2</v>
      </c>
      <c r="J665" s="384">
        <f>VLOOKUP($A665,'8.Non-elective admissions - CCG'!$D$5:$N$215,3,0)*$H665</f>
        <v>127.99467411256751</v>
      </c>
      <c r="K665" s="384">
        <f>VLOOKUP($A665,'8.Non-elective admissions - CCG'!$D$5:$N$215,4,0)*$H665</f>
        <v>131.88903539388295</v>
      </c>
      <c r="L665" s="384">
        <f>VLOOKUP($A665,'8.Non-elective admissions - CCG'!$D$5:$N$215,5,0)*$H665</f>
        <v>137.60076527314561</v>
      </c>
      <c r="M665" s="384">
        <f>VLOOKUP($A665,'8.Non-elective admissions - CCG'!$D$5:$N$215,6,0)*$H665</f>
        <v>135.03697742961293</v>
      </c>
      <c r="N665" s="384">
        <f>VLOOKUP($A665,'8.Non-elective admissions - CCG'!$D$5:$N$215,7,0)*$H665</f>
        <v>131.75922335117244</v>
      </c>
      <c r="O665" s="384">
        <f>VLOOKUP($A665,'8.Non-elective admissions - CCG'!$D$5:$N$215,8,0)*$H665</f>
        <v>132.08375345794872</v>
      </c>
      <c r="P665" s="384">
        <f>VLOOKUP($A665,'8.Non-elective admissions - CCG'!$D$5:$N$215,9,0)*$H665</f>
        <v>130.16902582796862</v>
      </c>
      <c r="Q665" s="384">
        <f>VLOOKUP($A665,'8.Non-elective admissions - CCG'!$D$5:$N$215,10,0)*$H665</f>
        <v>130.94789808423172</v>
      </c>
      <c r="R665" s="384">
        <f>VLOOKUP($A665,'8.Non-elective admissions - CCG'!$D$5:$Q$215,11,0)*$H665</f>
        <v>130.46110292406729</v>
      </c>
      <c r="S665" s="384">
        <f>VLOOKUP($A665,'8.Non-elective admissions - CCG'!$D$5:$Q$215,12,0)*$H665</f>
        <v>130.72072700948831</v>
      </c>
      <c r="T665" s="384">
        <f>VLOOKUP($A665,'8.Non-elective admissions - CCG'!$D$5:$Q$215,13,0)*$H665</f>
        <v>128.87090540086348</v>
      </c>
      <c r="U665" s="384">
        <f>VLOOKUP($A665,'8.Non-elective admissions - CCG'!$D$5:$Q$215,14,0)*$H665</f>
        <v>129.74713668915948</v>
      </c>
    </row>
    <row r="666" spans="1:21">
      <c r="A666" s="395" t="s">
        <v>536</v>
      </c>
      <c r="B666" s="395" t="s">
        <v>535</v>
      </c>
      <c r="C666" s="395" t="s">
        <v>757</v>
      </c>
      <c r="D666" s="395" t="s">
        <v>387</v>
      </c>
      <c r="E666" s="537">
        <f>COUNTIF($D$5:D666,D666)</f>
        <v>3</v>
      </c>
      <c r="F666" s="537" t="str">
        <f t="shared" si="20"/>
        <v>Sefton3</v>
      </c>
      <c r="G666" s="541" t="str">
        <f t="shared" si="21"/>
        <v>NHS South Sefton CCG</v>
      </c>
      <c r="H666" s="546">
        <v>0.96125158354662732</v>
      </c>
      <c r="I666" s="546">
        <v>0.52129762697605941</v>
      </c>
      <c r="J666" s="384">
        <f>VLOOKUP($A666,'8.Non-elective admissions - CCG'!$D$5:$N$215,3,0)*$H666</f>
        <v>3791.1762455078983</v>
      </c>
      <c r="K666" s="384">
        <f>VLOOKUP($A666,'8.Non-elective admissions - CCG'!$D$5:$N$215,4,0)*$H666</f>
        <v>3906.5264355334934</v>
      </c>
      <c r="L666" s="384">
        <f>VLOOKUP($A666,'8.Non-elective admissions - CCG'!$D$5:$N$215,5,0)*$H666</f>
        <v>4075.7067142377</v>
      </c>
      <c r="M666" s="384">
        <f>VLOOKUP($A666,'8.Non-elective admissions - CCG'!$D$5:$N$215,6,0)*$H666</f>
        <v>3999.7678391375161</v>
      </c>
      <c r="N666" s="384">
        <f>VLOOKUP($A666,'8.Non-elective admissions - CCG'!$D$5:$N$215,7,0)*$H666</f>
        <v>3902.6814291993069</v>
      </c>
      <c r="O666" s="384">
        <f>VLOOKUP($A666,'8.Non-elective admissions - CCG'!$D$5:$N$215,8,0)*$H666</f>
        <v>3912.2939450347731</v>
      </c>
      <c r="P666" s="384">
        <f>VLOOKUP($A666,'8.Non-elective admissions - CCG'!$D$5:$N$215,9,0)*$H666</f>
        <v>3855.580101605522</v>
      </c>
      <c r="Q666" s="384">
        <f>VLOOKUP($A666,'8.Non-elective admissions - CCG'!$D$5:$N$215,10,0)*$H666</f>
        <v>3878.6501396106414</v>
      </c>
      <c r="R666" s="384">
        <f>VLOOKUP($A666,'8.Non-elective admissions - CCG'!$D$5:$Q$215,11,0)*$H666</f>
        <v>3864.2313658574417</v>
      </c>
      <c r="S666" s="384">
        <f>VLOOKUP($A666,'8.Non-elective admissions - CCG'!$D$5:$Q$215,12,0)*$H666</f>
        <v>3871.9213785258148</v>
      </c>
      <c r="T666" s="384">
        <f>VLOOKUP($A666,'8.Non-elective admissions - CCG'!$D$5:$Q$215,13,0)*$H666</f>
        <v>3817.1300382636573</v>
      </c>
      <c r="U666" s="384">
        <f>VLOOKUP($A666,'8.Non-elective admissions - CCG'!$D$5:$Q$215,14,0)*$H666</f>
        <v>3843.0838310194158</v>
      </c>
    </row>
    <row r="667" spans="1:21">
      <c r="A667" s="395" t="s">
        <v>538</v>
      </c>
      <c r="B667" s="395" t="s">
        <v>537</v>
      </c>
      <c r="C667" s="395" t="s">
        <v>729</v>
      </c>
      <c r="D667" s="395" t="s">
        <v>303</v>
      </c>
      <c r="E667" s="537">
        <f>COUNTIF($D$5:D667,D667)</f>
        <v>3</v>
      </c>
      <c r="F667" s="537" t="str">
        <f t="shared" si="20"/>
        <v>Middlesbrough3</v>
      </c>
      <c r="G667" s="541" t="str">
        <f t="shared" si="21"/>
        <v>NHS South Tees CCG</v>
      </c>
      <c r="H667" s="546">
        <v>0.51803820177652338</v>
      </c>
      <c r="I667" s="546">
        <v>0.99598634830310995</v>
      </c>
      <c r="J667" s="384">
        <f>VLOOKUP($A667,'8.Non-elective admissions - CCG'!$D$5:$N$215,3,0)*$H667</f>
        <v>4733.3150496320941</v>
      </c>
      <c r="K667" s="384">
        <f>VLOOKUP($A667,'8.Non-elective admissions - CCG'!$D$5:$N$215,4,0)*$H667</f>
        <v>4615.202339627047</v>
      </c>
      <c r="L667" s="384">
        <f>VLOOKUP($A667,'8.Non-elective admissions - CCG'!$D$5:$N$215,5,0)*$H667</f>
        <v>4859.1983326637892</v>
      </c>
      <c r="M667" s="384">
        <f>VLOOKUP($A667,'8.Non-elective admissions - CCG'!$D$5:$N$215,6,0)*$H667</f>
        <v>4490.355132998905</v>
      </c>
      <c r="N667" s="384">
        <f>VLOOKUP($A667,'8.Non-elective admissions - CCG'!$D$5:$N$215,7,0)*$H667</f>
        <v>4591.890620547103</v>
      </c>
      <c r="O667" s="384">
        <f>VLOOKUP($A667,'8.Non-elective admissions - CCG'!$D$5:$N$215,8,0)*$H667</f>
        <v>4537.4966093605681</v>
      </c>
      <c r="P667" s="384">
        <f>VLOOKUP($A667,'8.Non-elective admissions - CCG'!$D$5:$N$215,9,0)*$H667</f>
        <v>4676.3308474366768</v>
      </c>
      <c r="Q667" s="384">
        <f>VLOOKUP($A667,'8.Non-elective admissions - CCG'!$D$5:$N$215,10,0)*$H667</f>
        <v>4675.8128092348998</v>
      </c>
      <c r="R667" s="384">
        <f>VLOOKUP($A667,'8.Non-elective admissions - CCG'!$D$5:$Q$215,11,0)*$H667</f>
        <v>4041.7340502604352</v>
      </c>
      <c r="S667" s="384">
        <f>VLOOKUP($A667,'8.Non-elective admissions - CCG'!$D$5:$Q$215,12,0)*$H667</f>
        <v>3994.0745356969951</v>
      </c>
      <c r="T667" s="384">
        <f>VLOOKUP($A667,'8.Non-elective admissions - CCG'!$D$5:$Q$215,13,0)*$H667</f>
        <v>4115.295474912702</v>
      </c>
      <c r="U667" s="384">
        <f>VLOOKUP($A667,'8.Non-elective admissions - CCG'!$D$5:$Q$215,14,0)*$H667</f>
        <v>4113.7413603073719</v>
      </c>
    </row>
    <row r="668" spans="1:21">
      <c r="A668" s="395" t="s">
        <v>538</v>
      </c>
      <c r="B668" s="395" t="s">
        <v>537</v>
      </c>
      <c r="C668" s="395" t="s">
        <v>750</v>
      </c>
      <c r="D668" s="395" t="s">
        <v>366</v>
      </c>
      <c r="E668" s="537">
        <f>COUNTIF($D$5:D668,D668)</f>
        <v>2</v>
      </c>
      <c r="F668" s="537" t="str">
        <f t="shared" si="20"/>
        <v>Redcar and Cleveland2</v>
      </c>
      <c r="G668" s="541" t="str">
        <f t="shared" si="21"/>
        <v>NHS South Tees CCG</v>
      </c>
      <c r="H668" s="546">
        <v>0.4791703148230172</v>
      </c>
      <c r="I668" s="546">
        <v>0.99036987623481332</v>
      </c>
      <c r="J668" s="384">
        <f>VLOOKUP($A668,'8.Non-elective admissions - CCG'!$D$5:$N$215,3,0)*$H668</f>
        <v>4378.1791665379078</v>
      </c>
      <c r="K668" s="384">
        <f>VLOOKUP($A668,'8.Non-elective admissions - CCG'!$D$5:$N$215,4,0)*$H668</f>
        <v>4268.9283347582605</v>
      </c>
      <c r="L668" s="384">
        <f>VLOOKUP($A668,'8.Non-elective admissions - CCG'!$D$5:$N$215,5,0)*$H668</f>
        <v>4494.6175530399014</v>
      </c>
      <c r="M668" s="384">
        <f>VLOOKUP($A668,'8.Non-elective admissions - CCG'!$D$5:$N$215,6,0)*$H668</f>
        <v>4153.4482888859129</v>
      </c>
      <c r="N668" s="384">
        <f>VLOOKUP($A668,'8.Non-elective admissions - CCG'!$D$5:$N$215,7,0)*$H668</f>
        <v>4247.3656705912244</v>
      </c>
      <c r="O668" s="384">
        <f>VLOOKUP($A668,'8.Non-elective admissions - CCG'!$D$5:$N$215,8,0)*$H668</f>
        <v>4197.052787534808</v>
      </c>
      <c r="P668" s="384">
        <f>VLOOKUP($A668,'8.Non-elective admissions - CCG'!$D$5:$N$215,9,0)*$H668</f>
        <v>4325.4704319073762</v>
      </c>
      <c r="Q668" s="384">
        <f>VLOOKUP($A668,'8.Non-elective admissions - CCG'!$D$5:$N$215,10,0)*$H668</f>
        <v>4324.9912615925532</v>
      </c>
      <c r="R668" s="384">
        <f>VLOOKUP($A668,'8.Non-elective admissions - CCG'!$D$5:$Q$215,11,0)*$H668</f>
        <v>3738.4867962491803</v>
      </c>
      <c r="S668" s="384">
        <f>VLOOKUP($A668,'8.Non-elective admissions - CCG'!$D$5:$Q$215,12,0)*$H668</f>
        <v>3694.4031272854627</v>
      </c>
      <c r="T668" s="384">
        <f>VLOOKUP($A668,'8.Non-elective admissions - CCG'!$D$5:$Q$215,13,0)*$H668</f>
        <v>3806.5289809540486</v>
      </c>
      <c r="U668" s="384">
        <f>VLOOKUP($A668,'8.Non-elective admissions - CCG'!$D$5:$Q$215,14,0)*$H668</f>
        <v>3805.0914700095796</v>
      </c>
    </row>
    <row r="669" spans="1:21">
      <c r="A669" s="395" t="s">
        <v>538</v>
      </c>
      <c r="B669" s="395" t="s">
        <v>537</v>
      </c>
      <c r="C669" s="395" t="s">
        <v>771</v>
      </c>
      <c r="D669" s="395" t="s">
        <v>429</v>
      </c>
      <c r="E669" s="537">
        <f>COUNTIF($D$5:D669,D669)</f>
        <v>5</v>
      </c>
      <c r="F669" s="537" t="str">
        <f t="shared" si="20"/>
        <v>Stockton-on-Tees5</v>
      </c>
      <c r="G669" s="541" t="str">
        <f t="shared" si="21"/>
        <v>NHS South Tees CCG</v>
      </c>
      <c r="H669" s="546">
        <v>2.7914834004594104E-3</v>
      </c>
      <c r="I669" s="546">
        <v>4.1113763249453839E-3</v>
      </c>
      <c r="J669" s="384">
        <f>VLOOKUP($A669,'8.Non-elective admissions - CCG'!$D$5:$N$215,3,0)*$H669</f>
        <v>25.505783829997632</v>
      </c>
      <c r="K669" s="384">
        <f>VLOOKUP($A669,'8.Non-elective admissions - CCG'!$D$5:$N$215,4,0)*$H669</f>
        <v>24.869325614692887</v>
      </c>
      <c r="L669" s="384">
        <f>VLOOKUP($A669,'8.Non-elective admissions - CCG'!$D$5:$N$215,5,0)*$H669</f>
        <v>26.184114296309268</v>
      </c>
      <c r="M669" s="384">
        <f>VLOOKUP($A669,'8.Non-elective admissions - CCG'!$D$5:$N$215,6,0)*$H669</f>
        <v>24.19657811518217</v>
      </c>
      <c r="N669" s="384">
        <f>VLOOKUP($A669,'8.Non-elective admissions - CCG'!$D$5:$N$215,7,0)*$H669</f>
        <v>24.743708861672214</v>
      </c>
      <c r="O669" s="384">
        <f>VLOOKUP($A669,'8.Non-elective admissions - CCG'!$D$5:$N$215,8,0)*$H669</f>
        <v>24.450603104623976</v>
      </c>
      <c r="P669" s="384">
        <f>VLOOKUP($A669,'8.Non-elective admissions - CCG'!$D$5:$N$215,9,0)*$H669</f>
        <v>25.198720655947099</v>
      </c>
      <c r="Q669" s="384">
        <f>VLOOKUP($A669,'8.Non-elective admissions - CCG'!$D$5:$N$215,10,0)*$H669</f>
        <v>25.195929172546638</v>
      </c>
      <c r="R669" s="384">
        <f>VLOOKUP($A669,'8.Non-elective admissions - CCG'!$D$5:$Q$215,11,0)*$H669</f>
        <v>21.779153490384321</v>
      </c>
      <c r="S669" s="384">
        <f>VLOOKUP($A669,'8.Non-elective admissions - CCG'!$D$5:$Q$215,12,0)*$H669</f>
        <v>21.522337017542053</v>
      </c>
      <c r="T669" s="384">
        <f>VLOOKUP($A669,'8.Non-elective admissions - CCG'!$D$5:$Q$215,13,0)*$H669</f>
        <v>22.175544133249556</v>
      </c>
      <c r="U669" s="384">
        <f>VLOOKUP($A669,'8.Non-elective admissions - CCG'!$D$5:$Q$215,14,0)*$H669</f>
        <v>22.167169683048179</v>
      </c>
    </row>
    <row r="670" spans="1:21">
      <c r="A670" s="395" t="s">
        <v>540</v>
      </c>
      <c r="B670" s="395" t="s">
        <v>539</v>
      </c>
      <c r="C670" s="395" t="s">
        <v>693</v>
      </c>
      <c r="D670" s="395" t="s">
        <v>184</v>
      </c>
      <c r="E670" s="537">
        <f>COUNTIF($D$5:D670,D670)</f>
        <v>4</v>
      </c>
      <c r="F670" s="537" t="str">
        <f t="shared" si="20"/>
        <v>Gateshead4</v>
      </c>
      <c r="G670" s="541" t="str">
        <f t="shared" si="21"/>
        <v>NHS South Tyneside CCG</v>
      </c>
      <c r="H670" s="546">
        <v>3.2817597467618463E-3</v>
      </c>
      <c r="I670" s="546">
        <v>2.500652237050018E-3</v>
      </c>
      <c r="J670" s="384">
        <f>VLOOKUP($A670,'8.Non-elective admissions - CCG'!$D$5:$N$215,3,0)*$H670</f>
        <v>13.937633644497561</v>
      </c>
      <c r="K670" s="384">
        <f>VLOOKUP($A670,'8.Non-elective admissions - CCG'!$D$5:$N$215,4,0)*$H670</f>
        <v>13.563513033366711</v>
      </c>
      <c r="L670" s="384">
        <f>VLOOKUP($A670,'8.Non-elective admissions - CCG'!$D$5:$N$215,5,0)*$H670</f>
        <v>14.009832358926323</v>
      </c>
      <c r="M670" s="384">
        <f>VLOOKUP($A670,'8.Non-elective admissions - CCG'!$D$5:$N$215,6,0)*$H670</f>
        <v>13.72103750121128</v>
      </c>
      <c r="N670" s="384">
        <f>VLOOKUP($A670,'8.Non-elective admissions - CCG'!$D$5:$N$215,7,0)*$H670</f>
        <v>13.576640072353758</v>
      </c>
      <c r="O670" s="384">
        <f>VLOOKUP($A670,'8.Non-elective admissions - CCG'!$D$5:$N$215,8,0)*$H670</f>
        <v>13.146729545527956</v>
      </c>
      <c r="P670" s="384">
        <f>VLOOKUP($A670,'8.Non-elective admissions - CCG'!$D$5:$N$215,9,0)*$H670</f>
        <v>13.228773539197002</v>
      </c>
      <c r="Q670" s="384">
        <f>VLOOKUP($A670,'8.Non-elective admissions - CCG'!$D$5:$N$215,10,0)*$H670</f>
        <v>13.520850156658806</v>
      </c>
      <c r="R670" s="384">
        <f>VLOOKUP($A670,'8.Non-elective admissions - CCG'!$D$5:$Q$215,11,0)*$H670</f>
        <v>13.300972253625764</v>
      </c>
      <c r="S670" s="384">
        <f>VLOOKUP($A670,'8.Non-elective admissions - CCG'!$D$5:$Q$215,12,0)*$H670</f>
        <v>12.884188765787009</v>
      </c>
      <c r="T670" s="384">
        <f>VLOOKUP($A670,'8.Non-elective admissions - CCG'!$D$5:$Q$215,13,0)*$H670</f>
        <v>12.969514519202816</v>
      </c>
      <c r="U670" s="384">
        <f>VLOOKUP($A670,'8.Non-elective admissions - CCG'!$D$5:$Q$215,14,0)*$H670</f>
        <v>13.251745857424336</v>
      </c>
    </row>
    <row r="671" spans="1:21">
      <c r="A671" s="395" t="s">
        <v>540</v>
      </c>
      <c r="B671" s="395" t="s">
        <v>539</v>
      </c>
      <c r="C671" s="395" t="s">
        <v>764</v>
      </c>
      <c r="D671" s="395" t="s">
        <v>408</v>
      </c>
      <c r="E671" s="537">
        <f>COUNTIF($D$5:D671,D671)</f>
        <v>2</v>
      </c>
      <c r="F671" s="537" t="str">
        <f t="shared" si="20"/>
        <v>South Tyneside2</v>
      </c>
      <c r="G671" s="541" t="str">
        <f t="shared" si="21"/>
        <v>NHS South Tyneside CCG</v>
      </c>
      <c r="H671" s="546">
        <v>0.99245453664524053</v>
      </c>
      <c r="I671" s="546">
        <v>0.99228145870741868</v>
      </c>
      <c r="J671" s="384">
        <f>VLOOKUP($A671,'8.Non-elective admissions - CCG'!$D$5:$N$215,3,0)*$H671</f>
        <v>4214.9544171323369</v>
      </c>
      <c r="K671" s="384">
        <f>VLOOKUP($A671,'8.Non-elective admissions - CCG'!$D$5:$N$215,4,0)*$H671</f>
        <v>4101.8145999547787</v>
      </c>
      <c r="L671" s="384">
        <f>VLOOKUP($A671,'8.Non-elective admissions - CCG'!$D$5:$N$215,5,0)*$H671</f>
        <v>4236.7884169385316</v>
      </c>
      <c r="M671" s="384">
        <f>VLOOKUP($A671,'8.Non-elective admissions - CCG'!$D$5:$N$215,6,0)*$H671</f>
        <v>4149.4524177137509</v>
      </c>
      <c r="N671" s="384">
        <f>VLOOKUP($A671,'8.Non-elective admissions - CCG'!$D$5:$N$215,7,0)*$H671</f>
        <v>4105.7844181013597</v>
      </c>
      <c r="O671" s="384">
        <f>VLOOKUP($A671,'8.Non-elective admissions - CCG'!$D$5:$N$215,8,0)*$H671</f>
        <v>3975.7728738008336</v>
      </c>
      <c r="P671" s="384">
        <f>VLOOKUP($A671,'8.Non-elective admissions - CCG'!$D$5:$N$215,9,0)*$H671</f>
        <v>4000.5842372169645</v>
      </c>
      <c r="Q671" s="384">
        <f>VLOOKUP($A671,'8.Non-elective admissions - CCG'!$D$5:$N$215,10,0)*$H671</f>
        <v>4088.9126909783909</v>
      </c>
      <c r="R671" s="384">
        <f>VLOOKUP($A671,'8.Non-elective admissions - CCG'!$D$5:$Q$215,11,0)*$H671</f>
        <v>4022.4182370231597</v>
      </c>
      <c r="S671" s="384">
        <f>VLOOKUP($A671,'8.Non-elective admissions - CCG'!$D$5:$Q$215,12,0)*$H671</f>
        <v>3896.3765108692141</v>
      </c>
      <c r="T671" s="384">
        <f>VLOOKUP($A671,'8.Non-elective admissions - CCG'!$D$5:$Q$215,13,0)*$H671</f>
        <v>3922.1803288219908</v>
      </c>
      <c r="U671" s="384">
        <f>VLOOKUP($A671,'8.Non-elective admissions - CCG'!$D$5:$Q$215,14,0)*$H671</f>
        <v>4007.5314189734813</v>
      </c>
    </row>
    <row r="672" spans="1:21">
      <c r="A672" s="395" t="s">
        <v>540</v>
      </c>
      <c r="B672" s="395" t="s">
        <v>539</v>
      </c>
      <c r="C672" s="395" t="s">
        <v>774</v>
      </c>
      <c r="D672" s="395" t="s">
        <v>438</v>
      </c>
      <c r="E672" s="537">
        <f>COUNTIF($D$5:D672,D672)</f>
        <v>4</v>
      </c>
      <c r="F672" s="537" t="str">
        <f t="shared" si="20"/>
        <v>Sunderland4</v>
      </c>
      <c r="G672" s="541" t="str">
        <f t="shared" si="21"/>
        <v>NHS South Tyneside CCG</v>
      </c>
      <c r="H672" s="546">
        <v>4.2637036079976745E-3</v>
      </c>
      <c r="I672" s="546">
        <v>2.2772048345748698E-3</v>
      </c>
      <c r="J672" s="384">
        <f>VLOOKUP($A672,'8.Non-elective admissions - CCG'!$D$5:$N$215,3,0)*$H672</f>
        <v>18.107949223166123</v>
      </c>
      <c r="K672" s="384">
        <f>VLOOKUP($A672,'8.Non-elective admissions - CCG'!$D$5:$N$215,4,0)*$H672</f>
        <v>17.62188701185439</v>
      </c>
      <c r="L672" s="384">
        <f>VLOOKUP($A672,'8.Non-elective admissions - CCG'!$D$5:$N$215,5,0)*$H672</f>
        <v>18.201750702542071</v>
      </c>
      <c r="M672" s="384">
        <f>VLOOKUP($A672,'8.Non-elective admissions - CCG'!$D$5:$N$215,6,0)*$H672</f>
        <v>17.826544785038276</v>
      </c>
      <c r="N672" s="384">
        <f>VLOOKUP($A672,'8.Non-elective admissions - CCG'!$D$5:$N$215,7,0)*$H672</f>
        <v>17.638941826286381</v>
      </c>
      <c r="O672" s="384">
        <f>VLOOKUP($A672,'8.Non-elective admissions - CCG'!$D$5:$N$215,8,0)*$H672</f>
        <v>17.080396653638683</v>
      </c>
      <c r="P672" s="384">
        <f>VLOOKUP($A672,'8.Non-elective admissions - CCG'!$D$5:$N$215,9,0)*$H672</f>
        <v>17.186989243838624</v>
      </c>
      <c r="Q672" s="384">
        <f>VLOOKUP($A672,'8.Non-elective admissions - CCG'!$D$5:$N$215,10,0)*$H672</f>
        <v>17.56645886495042</v>
      </c>
      <c r="R672" s="384">
        <f>VLOOKUP($A672,'8.Non-elective admissions - CCG'!$D$5:$Q$215,11,0)*$H672</f>
        <v>17.280790723214576</v>
      </c>
      <c r="S672" s="384">
        <f>VLOOKUP($A672,'8.Non-elective admissions - CCG'!$D$5:$Q$215,12,0)*$H672</f>
        <v>16.739300364998869</v>
      </c>
      <c r="T672" s="384">
        <f>VLOOKUP($A672,'8.Non-elective admissions - CCG'!$D$5:$Q$215,13,0)*$H672</f>
        <v>16.85015665880681</v>
      </c>
      <c r="U672" s="384">
        <f>VLOOKUP($A672,'8.Non-elective admissions - CCG'!$D$5:$Q$215,14,0)*$H672</f>
        <v>17.216835169094608</v>
      </c>
    </row>
    <row r="673" spans="1:21">
      <c r="A673" s="395" t="s">
        <v>542</v>
      </c>
      <c r="B673" s="395" t="s">
        <v>541</v>
      </c>
      <c r="C673" s="395" t="s">
        <v>694</v>
      </c>
      <c r="D673" s="395" t="s">
        <v>188</v>
      </c>
      <c r="E673" s="537">
        <f>COUNTIF($D$5:D673,D673)</f>
        <v>5</v>
      </c>
      <c r="F673" s="537" t="str">
        <f t="shared" si="20"/>
        <v>Gloucestershire5</v>
      </c>
      <c r="G673" s="541" t="str">
        <f t="shared" si="21"/>
        <v>NHS South Warwickshire CCG</v>
      </c>
      <c r="H673" s="546">
        <v>5.5972131153546063E-3</v>
      </c>
      <c r="I673" s="546">
        <v>2.4656017891749107E-3</v>
      </c>
      <c r="J673" s="384">
        <f>VLOOKUP($A673,'8.Non-elective admissions - CCG'!$D$5:$N$215,3,0)*$H673</f>
        <v>32.799668855977991</v>
      </c>
      <c r="K673" s="384">
        <f>VLOOKUP($A673,'8.Non-elective admissions - CCG'!$D$5:$N$215,4,0)*$H673</f>
        <v>33.26983475766778</v>
      </c>
      <c r="L673" s="384">
        <f>VLOOKUP($A673,'8.Non-elective admissions - CCG'!$D$5:$N$215,5,0)*$H673</f>
        <v>35.402372954617881</v>
      </c>
      <c r="M673" s="384">
        <f>VLOOKUP($A673,'8.Non-elective admissions - CCG'!$D$5:$N$215,6,0)*$H673</f>
        <v>33.392973446205581</v>
      </c>
      <c r="N673" s="384">
        <f>VLOOKUP($A673,'8.Non-elective admissions - CCG'!$D$5:$N$215,7,0)*$H673</f>
        <v>33.717335779211922</v>
      </c>
      <c r="O673" s="384">
        <f>VLOOKUP($A673,'8.Non-elective admissions - CCG'!$D$5:$N$215,8,0)*$H673</f>
        <v>34.087855952707656</v>
      </c>
      <c r="P673" s="384">
        <f>VLOOKUP($A673,'8.Non-elective admissions - CCG'!$D$5:$N$215,9,0)*$H673</f>
        <v>34.087855952707656</v>
      </c>
      <c r="Q673" s="384">
        <f>VLOOKUP($A673,'8.Non-elective admissions - CCG'!$D$5:$N$215,10,0)*$H673</f>
        <v>33.346815606331894</v>
      </c>
      <c r="R673" s="384">
        <f>VLOOKUP($A673,'8.Non-elective admissions - CCG'!$D$5:$Q$215,11,0)*$H673</f>
        <v>33.625211911032444</v>
      </c>
      <c r="S673" s="384">
        <f>VLOOKUP($A673,'8.Non-elective admissions - CCG'!$D$5:$Q$215,12,0)*$H673</f>
        <v>33.99471973439114</v>
      </c>
      <c r="T673" s="384">
        <f>VLOOKUP($A673,'8.Non-elective admissions - CCG'!$D$5:$Q$215,13,0)*$H673</f>
        <v>33.99471973439114</v>
      </c>
      <c r="U673" s="384">
        <f>VLOOKUP($A673,'8.Non-elective admissions - CCG'!$D$5:$Q$215,14,0)*$H673</f>
        <v>33.625211911536198</v>
      </c>
    </row>
    <row r="674" spans="1:21">
      <c r="A674" s="395" t="s">
        <v>542</v>
      </c>
      <c r="B674" s="395" t="s">
        <v>541</v>
      </c>
      <c r="C674" s="395" t="s">
        <v>744</v>
      </c>
      <c r="D674" s="395" t="s">
        <v>348</v>
      </c>
      <c r="E674" s="537">
        <f>COUNTIF($D$5:D674,D674)</f>
        <v>7</v>
      </c>
      <c r="F674" s="537" t="str">
        <f t="shared" si="20"/>
        <v>Oxfordshire7</v>
      </c>
      <c r="G674" s="541" t="str">
        <f t="shared" si="21"/>
        <v>NHS South Warwickshire CCG</v>
      </c>
      <c r="H674" s="546">
        <v>6.8206877099412809E-3</v>
      </c>
      <c r="I674" s="546">
        <v>2.6317500431086872E-3</v>
      </c>
      <c r="J674" s="384">
        <f>VLOOKUP($A674,'8.Non-elective admissions - CCG'!$D$5:$N$215,3,0)*$H674</f>
        <v>39.969229980255903</v>
      </c>
      <c r="K674" s="384">
        <f>VLOOKUP($A674,'8.Non-elective admissions - CCG'!$D$5:$N$215,4,0)*$H674</f>
        <v>40.542167747890971</v>
      </c>
      <c r="L674" s="384">
        <f>VLOOKUP($A674,'8.Non-elective admissions - CCG'!$D$5:$N$215,5,0)*$H674</f>
        <v>43.140849765378604</v>
      </c>
      <c r="M674" s="384">
        <f>VLOOKUP($A674,'8.Non-elective admissions - CCG'!$D$5:$N$215,6,0)*$H674</f>
        <v>40.692222877509678</v>
      </c>
      <c r="N674" s="384">
        <f>VLOOKUP($A674,'8.Non-elective admissions - CCG'!$D$5:$N$215,7,0)*$H674</f>
        <v>41.087486401107725</v>
      </c>
      <c r="O674" s="384">
        <f>VLOOKUP($A674,'8.Non-elective admissions - CCG'!$D$5:$N$215,8,0)*$H674</f>
        <v>41.53899724079951</v>
      </c>
      <c r="P674" s="384">
        <f>VLOOKUP($A674,'8.Non-elective admissions - CCG'!$D$5:$N$215,9,0)*$H674</f>
        <v>41.53899724079951</v>
      </c>
      <c r="Q674" s="384">
        <f>VLOOKUP($A674,'8.Non-elective admissions - CCG'!$D$5:$N$215,10,0)*$H674</f>
        <v>40.635975562166216</v>
      </c>
      <c r="R674" s="384">
        <f>VLOOKUP($A674,'8.Non-elective admissions - CCG'!$D$5:$Q$215,11,0)*$H674</f>
        <v>40.975225509386398</v>
      </c>
      <c r="S674" s="384">
        <f>VLOOKUP($A674,'8.Non-elective admissions - CCG'!$D$5:$Q$215,12,0)*$H674</f>
        <v>41.425502712981874</v>
      </c>
      <c r="T674" s="384">
        <f>VLOOKUP($A674,'8.Non-elective admissions - CCG'!$D$5:$Q$215,13,0)*$H674</f>
        <v>41.425502712981874</v>
      </c>
      <c r="U674" s="384">
        <f>VLOOKUP($A674,'8.Non-elective admissions - CCG'!$D$5:$Q$215,14,0)*$H674</f>
        <v>40.975225510000264</v>
      </c>
    </row>
    <row r="675" spans="1:21">
      <c r="A675" s="395" t="s">
        <v>542</v>
      </c>
      <c r="B675" s="395" t="s">
        <v>541</v>
      </c>
      <c r="C675" s="395" t="s">
        <v>761</v>
      </c>
      <c r="D675" s="395" t="s">
        <v>399</v>
      </c>
      <c r="E675" s="537">
        <f>COUNTIF($D$5:D675,D675)</f>
        <v>5</v>
      </c>
      <c r="F675" s="537" t="str">
        <f t="shared" si="20"/>
        <v>Solihull5</v>
      </c>
      <c r="G675" s="541" t="str">
        <f t="shared" si="21"/>
        <v>NHS South Warwickshire CCG</v>
      </c>
      <c r="H675" s="546">
        <v>3.8425893704234172E-3</v>
      </c>
      <c r="I675" s="546">
        <v>4.7683552129168336E-3</v>
      </c>
      <c r="J675" s="384">
        <f>VLOOKUP($A675,'8.Non-elective admissions - CCG'!$D$5:$N$215,3,0)*$H675</f>
        <v>22.517573710681226</v>
      </c>
      <c r="K675" s="384">
        <f>VLOOKUP($A675,'8.Non-elective admissions - CCG'!$D$5:$N$215,4,0)*$H675</f>
        <v>22.84035121779679</v>
      </c>
      <c r="L675" s="384">
        <f>VLOOKUP($A675,'8.Non-elective admissions - CCG'!$D$5:$N$215,5,0)*$H675</f>
        <v>24.304377767928113</v>
      </c>
      <c r="M675" s="384">
        <f>VLOOKUP($A675,'8.Non-elective admissions - CCG'!$D$5:$N$215,6,0)*$H675</f>
        <v>22.924888183946106</v>
      </c>
      <c r="N675" s="384">
        <f>VLOOKUP($A675,'8.Non-elective admissions - CCG'!$D$5:$N$215,7,0)*$H675</f>
        <v>23.147568869367344</v>
      </c>
      <c r="O675" s="384">
        <f>VLOOKUP($A675,'8.Non-elective admissions - CCG'!$D$5:$N$215,8,0)*$H675</f>
        <v>23.401937758108854</v>
      </c>
      <c r="P675" s="384">
        <f>VLOOKUP($A675,'8.Non-elective admissions - CCG'!$D$5:$N$215,9,0)*$H675</f>
        <v>23.401937758108854</v>
      </c>
      <c r="Q675" s="384">
        <f>VLOOKUP($A675,'8.Non-elective admissions - CCG'!$D$5:$N$215,10,0)*$H675</f>
        <v>22.893199981048529</v>
      </c>
      <c r="R675" s="384">
        <f>VLOOKUP($A675,'8.Non-elective admissions - CCG'!$D$5:$Q$215,11,0)*$H675</f>
        <v>23.084324145728424</v>
      </c>
      <c r="S675" s="384">
        <f>VLOOKUP($A675,'8.Non-elective admissions - CCG'!$D$5:$Q$215,12,0)*$H675</f>
        <v>23.337998037549937</v>
      </c>
      <c r="T675" s="384">
        <f>VLOOKUP($A675,'8.Non-elective admissions - CCG'!$D$5:$Q$215,13,0)*$H675</f>
        <v>23.337998037549937</v>
      </c>
      <c r="U675" s="384">
        <f>VLOOKUP($A675,'8.Non-elective admissions - CCG'!$D$5:$Q$215,14,0)*$H675</f>
        <v>23.084324146074259</v>
      </c>
    </row>
    <row r="676" spans="1:21">
      <c r="A676" s="395" t="s">
        <v>542</v>
      </c>
      <c r="B676" s="395" t="s">
        <v>541</v>
      </c>
      <c r="C676" s="395" t="s">
        <v>789</v>
      </c>
      <c r="D676" s="395" t="s">
        <v>483</v>
      </c>
      <c r="E676" s="537">
        <f>COUNTIF($D$5:D676,D676)</f>
        <v>9</v>
      </c>
      <c r="F676" s="537" t="str">
        <f t="shared" si="20"/>
        <v>Warwickshire9</v>
      </c>
      <c r="G676" s="541" t="str">
        <f t="shared" si="21"/>
        <v>NHS South Warwickshire CCG</v>
      </c>
      <c r="H676" s="546">
        <v>0.96062902711791143</v>
      </c>
      <c r="I676" s="546">
        <v>0.45643706008897433</v>
      </c>
      <c r="J676" s="384">
        <f>VLOOKUP($A676,'8.Non-elective admissions - CCG'!$D$5:$N$215,3,0)*$H676</f>
        <v>5629.2860989109613</v>
      </c>
      <c r="K676" s="384">
        <f>VLOOKUP($A676,'8.Non-elective admissions - CCG'!$D$5:$N$215,4,0)*$H676</f>
        <v>5709.9789371888655</v>
      </c>
      <c r="L676" s="384">
        <f>VLOOKUP($A676,'8.Non-elective admissions - CCG'!$D$5:$N$215,5,0)*$H676</f>
        <v>6075.9785965207893</v>
      </c>
      <c r="M676" s="384">
        <f>VLOOKUP($A676,'8.Non-elective admissions - CCG'!$D$5:$N$215,6,0)*$H676</f>
        <v>5731.1127757854592</v>
      </c>
      <c r="N676" s="384">
        <f>VLOOKUP($A676,'8.Non-elective admissions - CCG'!$D$5:$N$215,7,0)*$H676</f>
        <v>5786.7818857457005</v>
      </c>
      <c r="O676" s="384">
        <f>VLOOKUP($A676,'8.Non-elective admissions - CCG'!$D$5:$N$215,8,0)*$H676</f>
        <v>5850.3728954959552</v>
      </c>
      <c r="P676" s="384">
        <f>VLOOKUP($A676,'8.Non-elective admissions - CCG'!$D$5:$N$215,9,0)*$H676</f>
        <v>5850.3728954959552</v>
      </c>
      <c r="Q676" s="384">
        <f>VLOOKUP($A676,'8.Non-elective admissions - CCG'!$D$5:$N$215,10,0)*$H676</f>
        <v>5723.1908761011164</v>
      </c>
      <c r="R676" s="384">
        <f>VLOOKUP($A676,'8.Non-elective admissions - CCG'!$D$5:$Q$215,11,0)*$H676</f>
        <v>5770.9710062884187</v>
      </c>
      <c r="S676" s="384">
        <f>VLOOKUP($A676,'8.Non-elective admissions - CCG'!$D$5:$Q$215,12,0)*$H676</f>
        <v>5834.3882701213379</v>
      </c>
      <c r="T676" s="384">
        <f>VLOOKUP($A676,'8.Non-elective admissions - CCG'!$D$5:$Q$215,13,0)*$H676</f>
        <v>5834.3882701213379</v>
      </c>
      <c r="U676" s="384">
        <f>VLOOKUP($A676,'8.Non-elective admissions - CCG'!$D$5:$Q$215,14,0)*$H676</f>
        <v>5770.9710063748753</v>
      </c>
    </row>
    <row r="677" spans="1:21">
      <c r="A677" s="395" t="s">
        <v>542</v>
      </c>
      <c r="B677" s="395" t="s">
        <v>541</v>
      </c>
      <c r="C677" s="395" t="s">
        <v>799</v>
      </c>
      <c r="D677" s="395" t="s">
        <v>513</v>
      </c>
      <c r="E677" s="537">
        <f>COUNTIF($D$5:D677,D677)</f>
        <v>9</v>
      </c>
      <c r="F677" s="537" t="str">
        <f t="shared" si="20"/>
        <v>Worcestershire9</v>
      </c>
      <c r="G677" s="541" t="str">
        <f t="shared" si="21"/>
        <v>NHS South Warwickshire CCG</v>
      </c>
      <c r="H677" s="546">
        <v>2.3110482686369248E-2</v>
      </c>
      <c r="I677" s="546">
        <v>1.0699966758702096E-2</v>
      </c>
      <c r="J677" s="384">
        <f>VLOOKUP($A677,'8.Non-elective admissions - CCG'!$D$5:$N$215,3,0)*$H677</f>
        <v>135.42742854212381</v>
      </c>
      <c r="K677" s="384">
        <f>VLOOKUP($A677,'8.Non-elective admissions - CCG'!$D$5:$N$215,4,0)*$H677</f>
        <v>137.3687090877788</v>
      </c>
      <c r="L677" s="384">
        <f>VLOOKUP($A677,'8.Non-elective admissions - CCG'!$D$5:$N$215,5,0)*$H677</f>
        <v>146.1738029912855</v>
      </c>
      <c r="M677" s="384">
        <f>VLOOKUP($A677,'8.Non-elective admissions - CCG'!$D$5:$N$215,6,0)*$H677</f>
        <v>137.87713970687892</v>
      </c>
      <c r="N677" s="384">
        <f>VLOOKUP($A677,'8.Non-elective admissions - CCG'!$D$5:$N$215,7,0)*$H677</f>
        <v>139.21640800461259</v>
      </c>
      <c r="O677" s="384">
        <f>VLOOKUP($A677,'8.Non-elective admissions - CCG'!$D$5:$N$215,8,0)*$H677</f>
        <v>140.74625864242972</v>
      </c>
      <c r="P677" s="384">
        <f>VLOOKUP($A677,'8.Non-elective admissions - CCG'!$D$5:$N$215,9,0)*$H677</f>
        <v>140.74625864242972</v>
      </c>
      <c r="Q677" s="384">
        <f>VLOOKUP($A677,'8.Non-elective admissions - CCG'!$D$5:$N$215,10,0)*$H677</f>
        <v>137.68655736933763</v>
      </c>
      <c r="R677" s="384">
        <f>VLOOKUP($A677,'8.Non-elective admissions - CCG'!$D$5:$Q$215,11,0)*$H677</f>
        <v>138.83603530543436</v>
      </c>
      <c r="S677" s="384">
        <f>VLOOKUP($A677,'8.Non-elective admissions - CCG'!$D$5:$Q$215,12,0)*$H677</f>
        <v>140.36170602373934</v>
      </c>
      <c r="T677" s="384">
        <f>VLOOKUP($A677,'8.Non-elective admissions - CCG'!$D$5:$Q$215,13,0)*$H677</f>
        <v>140.36170602373934</v>
      </c>
      <c r="U677" s="384">
        <f>VLOOKUP($A677,'8.Non-elective admissions - CCG'!$D$5:$Q$215,14,0)*$H677</f>
        <v>138.83603530751432</v>
      </c>
    </row>
    <row r="678" spans="1:21">
      <c r="A678" s="395" t="s">
        <v>544</v>
      </c>
      <c r="B678" s="395" t="s">
        <v>1219</v>
      </c>
      <c r="C678" s="395" t="s">
        <v>721</v>
      </c>
      <c r="D678" s="395" t="s">
        <v>279</v>
      </c>
      <c r="E678" s="537">
        <f>COUNTIF($D$5:D678,D678)</f>
        <v>5</v>
      </c>
      <c r="F678" s="537" t="str">
        <f t="shared" si="20"/>
        <v>Leicestershire5</v>
      </c>
      <c r="G678" s="541" t="str">
        <f t="shared" si="21"/>
        <v>NHS South West Lincolnshire CCG</v>
      </c>
      <c r="H678" s="546">
        <v>5.7482769686874415E-2</v>
      </c>
      <c r="I678" s="546">
        <v>1.1045529959329897E-2</v>
      </c>
      <c r="J678" s="384">
        <f>VLOOKUP($A678,'8.Non-elective admissions - CCG'!$D$5:$N$215,3,0)*$H678</f>
        <v>179.2887586533613</v>
      </c>
      <c r="K678" s="384">
        <f>VLOOKUP($A678,'8.Non-elective admissions - CCG'!$D$5:$N$215,4,0)*$H678</f>
        <v>174.34524046029009</v>
      </c>
      <c r="L678" s="384">
        <f>VLOOKUP($A678,'8.Non-elective admissions - CCG'!$D$5:$N$215,5,0)*$H678</f>
        <v>176.29965462964384</v>
      </c>
      <c r="M678" s="384">
        <f>VLOOKUP($A678,'8.Non-elective admissions - CCG'!$D$5:$N$215,6,0)*$H678</f>
        <v>163.48099698947084</v>
      </c>
      <c r="N678" s="384">
        <f>VLOOKUP($A678,'8.Non-elective admissions - CCG'!$D$5:$N$215,7,0)*$H678</f>
        <v>171.15266754544709</v>
      </c>
      <c r="O678" s="384">
        <f>VLOOKUP($A678,'8.Non-elective admissions - CCG'!$D$5:$N$215,8,0)*$H678</f>
        <v>170.70310155254813</v>
      </c>
      <c r="P678" s="384">
        <f>VLOOKUP($A678,'8.Non-elective admissions - CCG'!$D$5:$N$215,9,0)*$H678</f>
        <v>173.20030779808343</v>
      </c>
      <c r="Q678" s="384">
        <f>VLOOKUP($A678,'8.Non-elective admissions - CCG'!$D$5:$N$215,10,0)*$H678</f>
        <v>168.27112867909398</v>
      </c>
      <c r="R678" s="384">
        <f>VLOOKUP($A678,'8.Non-elective admissions - CCG'!$D$5:$Q$215,11,0)*$H678</f>
        <v>164.70449060124889</v>
      </c>
      <c r="S678" s="384">
        <f>VLOOKUP($A678,'8.Non-elective admissions - CCG'!$D$5:$Q$215,12,0)*$H678</f>
        <v>164.30289001420473</v>
      </c>
      <c r="T678" s="384">
        <f>VLOOKUP($A678,'8.Non-elective admissions - CCG'!$D$5:$Q$215,13,0)*$H678</f>
        <v>166.66846701399214</v>
      </c>
      <c r="U678" s="384">
        <f>VLOOKUP($A678,'8.Non-elective admissions - CCG'!$D$5:$Q$215,14,0)*$H678</f>
        <v>161.93947047462919</v>
      </c>
    </row>
    <row r="679" spans="1:21">
      <c r="A679" s="395" t="s">
        <v>544</v>
      </c>
      <c r="B679" s="395" t="s">
        <v>1219</v>
      </c>
      <c r="C679" s="395" t="s">
        <v>723</v>
      </c>
      <c r="D679" s="395" t="s">
        <v>285</v>
      </c>
      <c r="E679" s="537">
        <f>COUNTIF($D$5:D679,D679)</f>
        <v>9</v>
      </c>
      <c r="F679" s="537" t="str">
        <f t="shared" si="20"/>
        <v>Lincolnshire9</v>
      </c>
      <c r="G679" s="541" t="str">
        <f t="shared" si="21"/>
        <v>NHS South West Lincolnshire CCG</v>
      </c>
      <c r="H679" s="546">
        <v>0.93130033467304452</v>
      </c>
      <c r="I679" s="546">
        <v>0.16260259133163277</v>
      </c>
      <c r="J679" s="384">
        <f>VLOOKUP($A679,'8.Non-elective admissions - CCG'!$D$5:$N$215,3,0)*$H679</f>
        <v>2904.7257438452257</v>
      </c>
      <c r="K679" s="384">
        <f>VLOOKUP($A679,'8.Non-elective admissions - CCG'!$D$5:$N$215,4,0)*$H679</f>
        <v>2824.6339150633439</v>
      </c>
      <c r="L679" s="384">
        <f>VLOOKUP($A679,'8.Non-elective admissions - CCG'!$D$5:$N$215,5,0)*$H679</f>
        <v>2856.2981264422274</v>
      </c>
      <c r="M679" s="384">
        <f>VLOOKUP($A679,'8.Non-elective admissions - CCG'!$D$5:$N$215,6,0)*$H679</f>
        <v>2648.6181518101384</v>
      </c>
      <c r="N679" s="384">
        <f>VLOOKUP($A679,'8.Non-elective admissions - CCG'!$D$5:$N$215,7,0)*$H679</f>
        <v>2772.9098203431781</v>
      </c>
      <c r="O679" s="384">
        <f>VLOOKUP($A679,'8.Non-elective admissions - CCG'!$D$5:$N$215,8,0)*$H679</f>
        <v>2765.6262297659473</v>
      </c>
      <c r="P679" s="384">
        <f>VLOOKUP($A679,'8.Non-elective admissions - CCG'!$D$5:$N$215,9,0)*$H679</f>
        <v>2806.0844231495148</v>
      </c>
      <c r="Q679" s="384">
        <f>VLOOKUP($A679,'8.Non-elective admissions - CCG'!$D$5:$N$215,10,0)*$H679</f>
        <v>2726.2249071904839</v>
      </c>
      <c r="R679" s="384">
        <f>VLOOKUP($A679,'8.Non-elective admissions - CCG'!$D$5:$Q$215,11,0)*$H679</f>
        <v>2668.4404397118196</v>
      </c>
      <c r="S679" s="384">
        <f>VLOOKUP($A679,'8.Non-elective admissions - CCG'!$D$5:$Q$215,12,0)*$H679</f>
        <v>2661.9339550181198</v>
      </c>
      <c r="T679" s="384">
        <f>VLOOKUP($A679,'8.Non-elective admissions - CCG'!$D$5:$Q$215,13,0)*$H679</f>
        <v>2700.2595726527188</v>
      </c>
      <c r="U679" s="384">
        <f>VLOOKUP($A679,'8.Non-elective admissions - CCG'!$D$5:$Q$215,14,0)*$H679</f>
        <v>2623.6432912214846</v>
      </c>
    </row>
    <row r="680" spans="1:21">
      <c r="A680" s="395" t="s">
        <v>544</v>
      </c>
      <c r="B680" s="395" t="s">
        <v>1219</v>
      </c>
      <c r="C680" s="395" t="s">
        <v>742</v>
      </c>
      <c r="D680" s="395" t="s">
        <v>342</v>
      </c>
      <c r="E680" s="537">
        <f>COUNTIF($D$5:D680,D680)</f>
        <v>13</v>
      </c>
      <c r="F680" s="537" t="str">
        <f t="shared" si="20"/>
        <v>Nottinghamshire13</v>
      </c>
      <c r="G680" s="541" t="str">
        <f t="shared" si="21"/>
        <v>NHS South West Lincolnshire CCG</v>
      </c>
      <c r="H680" s="546">
        <v>6.9074071244097394E-3</v>
      </c>
      <c r="I680" s="546">
        <v>1.1044445340380276E-3</v>
      </c>
      <c r="J680" s="384">
        <f>VLOOKUP($A680,'8.Non-elective admissions - CCG'!$D$5:$N$215,3,0)*$H680</f>
        <v>21.544202821033977</v>
      </c>
      <c r="K680" s="384">
        <f>VLOOKUP($A680,'8.Non-elective admissions - CCG'!$D$5:$N$215,4,0)*$H680</f>
        <v>20.950165808334738</v>
      </c>
      <c r="L680" s="384">
        <f>VLOOKUP($A680,'8.Non-elective admissions - CCG'!$D$5:$N$215,5,0)*$H680</f>
        <v>21.185017650564671</v>
      </c>
      <c r="M680" s="384">
        <f>VLOOKUP($A680,'8.Non-elective admissions - CCG'!$D$5:$N$215,6,0)*$H680</f>
        <v>19.644665861821299</v>
      </c>
      <c r="N680" s="384">
        <f>VLOOKUP($A680,'8.Non-elective admissions - CCG'!$D$5:$N$215,7,0)*$H680</f>
        <v>20.566530833588221</v>
      </c>
      <c r="O680" s="384">
        <f>VLOOKUP($A680,'8.Non-elective admissions - CCG'!$D$5:$N$215,8,0)*$H680</f>
        <v>20.512508813439254</v>
      </c>
      <c r="P680" s="384">
        <f>VLOOKUP($A680,'8.Non-elective admissions - CCG'!$D$5:$N$215,9,0)*$H680</f>
        <v>20.81258517206798</v>
      </c>
      <c r="Q680" s="384">
        <f>VLOOKUP($A680,'8.Non-elective admissions - CCG'!$D$5:$N$215,10,0)*$H680</f>
        <v>20.220271211737465</v>
      </c>
      <c r="R680" s="384">
        <f>VLOOKUP($A680,'8.Non-elective admissions - CCG'!$D$5:$Q$215,11,0)*$H680</f>
        <v>19.791686761069919</v>
      </c>
      <c r="S680" s="384">
        <f>VLOOKUP($A680,'8.Non-elective admissions - CCG'!$D$5:$Q$215,12,0)*$H680</f>
        <v>19.74342849565879</v>
      </c>
      <c r="T680" s="384">
        <f>VLOOKUP($A680,'8.Non-elective admissions - CCG'!$D$5:$Q$215,13,0)*$H680</f>
        <v>20.027687648630717</v>
      </c>
      <c r="U680" s="384">
        <f>VLOOKUP($A680,'8.Non-elective admissions - CCG'!$D$5:$Q$215,14,0)*$H680</f>
        <v>19.459428593521839</v>
      </c>
    </row>
    <row r="681" spans="1:21">
      <c r="A681" s="395" t="s">
        <v>544</v>
      </c>
      <c r="B681" s="395" t="s">
        <v>1219</v>
      </c>
      <c r="C681" s="395" t="s">
        <v>754</v>
      </c>
      <c r="D681" s="395" t="s">
        <v>378</v>
      </c>
      <c r="E681" s="537">
        <f>COUNTIF($D$5:D681,D681)</f>
        <v>5</v>
      </c>
      <c r="F681" s="537" t="str">
        <f t="shared" si="20"/>
        <v>Rutland5</v>
      </c>
      <c r="G681" s="541" t="str">
        <f t="shared" si="21"/>
        <v>NHS South West Lincolnshire CCG</v>
      </c>
      <c r="H681" s="546">
        <v>4.3094885156715629E-3</v>
      </c>
      <c r="I681" s="546">
        <v>1.5418682850816044E-2</v>
      </c>
      <c r="J681" s="384">
        <f>VLOOKUP($A681,'8.Non-elective admissions - CCG'!$D$5:$N$215,3,0)*$H681</f>
        <v>13.441294680379604</v>
      </c>
      <c r="K681" s="384">
        <f>VLOOKUP($A681,'8.Non-elective admissions - CCG'!$D$5:$N$215,4,0)*$H681</f>
        <v>13.070678668031851</v>
      </c>
      <c r="L681" s="384">
        <f>VLOOKUP($A681,'8.Non-elective admissions - CCG'!$D$5:$N$215,5,0)*$H681</f>
        <v>13.217201277564683</v>
      </c>
      <c r="M681" s="384">
        <f>VLOOKUP($A681,'8.Non-elective admissions - CCG'!$D$5:$N$215,6,0)*$H681</f>
        <v>12.256185338569924</v>
      </c>
      <c r="N681" s="384">
        <f>VLOOKUP($A681,'8.Non-elective admissions - CCG'!$D$5:$N$215,7,0)*$H681</f>
        <v>12.83133118378734</v>
      </c>
      <c r="O681" s="384">
        <f>VLOOKUP($A681,'8.Non-elective admissions - CCG'!$D$5:$N$215,8,0)*$H681</f>
        <v>12.797627180066083</v>
      </c>
      <c r="P681" s="384">
        <f>VLOOKUP($A681,'8.Non-elective admissions - CCG'!$D$5:$N$215,9,0)*$H681</f>
        <v>12.984842961334447</v>
      </c>
      <c r="Q681" s="384">
        <f>VLOOKUP($A681,'8.Non-elective admissions - CCG'!$D$5:$N$215,10,0)*$H681</f>
        <v>12.615301950685764</v>
      </c>
      <c r="R681" s="384">
        <f>VLOOKUP($A681,'8.Non-elective admissions - CCG'!$D$5:$Q$215,11,0)*$H681</f>
        <v>12.347910766862206</v>
      </c>
      <c r="S681" s="384">
        <f>VLOOKUP($A681,'8.Non-elective admissions - CCG'!$D$5:$Q$215,12,0)*$H681</f>
        <v>12.31780273401721</v>
      </c>
      <c r="T681" s="384">
        <f>VLOOKUP($A681,'8.Non-elective admissions - CCG'!$D$5:$Q$215,13,0)*$H681</f>
        <v>12.495150258658988</v>
      </c>
      <c r="U681" s="384">
        <f>VLOOKUP($A681,'8.Non-elective admissions - CCG'!$D$5:$Q$215,14,0)*$H681</f>
        <v>12.140616954365393</v>
      </c>
    </row>
    <row r="682" spans="1:21">
      <c r="A682" s="395" t="s">
        <v>546</v>
      </c>
      <c r="B682" s="395" t="s">
        <v>545</v>
      </c>
      <c r="C682" s="395" t="s">
        <v>694</v>
      </c>
      <c r="D682" s="395" t="s">
        <v>188</v>
      </c>
      <c r="E682" s="537">
        <f>COUNTIF($D$5:D682,D682)</f>
        <v>6</v>
      </c>
      <c r="F682" s="537" t="str">
        <f t="shared" si="20"/>
        <v>Gloucestershire6</v>
      </c>
      <c r="G682" s="541" t="str">
        <f t="shared" si="21"/>
        <v>NHS South Worcestershire CCG</v>
      </c>
      <c r="H682" s="546">
        <v>1.1464098203811449E-2</v>
      </c>
      <c r="I682" s="546">
        <v>5.4717641800341122E-3</v>
      </c>
      <c r="J682" s="384">
        <f>VLOOKUP($A682,'8.Non-elective admissions - CCG'!$D$5:$N$215,3,0)*$H682</f>
        <v>71.879895737897783</v>
      </c>
      <c r="K682" s="384">
        <f>VLOOKUP($A682,'8.Non-elective admissions - CCG'!$D$5:$N$215,4,0)*$H682</f>
        <v>70.080032319899388</v>
      </c>
      <c r="L682" s="384">
        <f>VLOOKUP($A682,'8.Non-elective admissions - CCG'!$D$5:$N$215,5,0)*$H682</f>
        <v>77.015811733205311</v>
      </c>
      <c r="M682" s="384">
        <f>VLOOKUP($A682,'8.Non-elective admissions - CCG'!$D$5:$N$215,6,0)*$H682</f>
        <v>72.200890487604511</v>
      </c>
      <c r="N682" s="384">
        <f>VLOOKUP($A682,'8.Non-elective admissions - CCG'!$D$5:$N$215,7,0)*$H682</f>
        <v>69.002407088741109</v>
      </c>
      <c r="O682" s="384">
        <f>VLOOKUP($A682,'8.Non-elective admissions - CCG'!$D$5:$N$215,8,0)*$H682</f>
        <v>67.385969242003696</v>
      </c>
      <c r="P682" s="384">
        <f>VLOOKUP($A682,'8.Non-elective admissions - CCG'!$D$5:$N$215,9,0)*$H682</f>
        <v>73.920505218176231</v>
      </c>
      <c r="Q682" s="384">
        <f>VLOOKUP($A682,'8.Non-elective admissions - CCG'!$D$5:$N$215,10,0)*$H682</f>
        <v>67.890389562971407</v>
      </c>
      <c r="R682" s="384">
        <f>VLOOKUP($A682,'8.Non-elective admissions - CCG'!$D$5:$Q$215,11,0)*$H682</f>
        <v>65.620498118616737</v>
      </c>
      <c r="S682" s="384">
        <f>VLOOKUP($A682,'8.Non-elective admissions - CCG'!$D$5:$Q$215,12,0)*$H682</f>
        <v>61.619527845486537</v>
      </c>
      <c r="T682" s="384">
        <f>VLOOKUP($A682,'8.Non-elective admissions - CCG'!$D$5:$Q$215,13,0)*$H682</f>
        <v>70.240529694752752</v>
      </c>
      <c r="U682" s="384">
        <f>VLOOKUP($A682,'8.Non-elective admissions - CCG'!$D$5:$Q$215,14,0)*$H682</f>
        <v>63.167181103001084</v>
      </c>
    </row>
    <row r="683" spans="1:21">
      <c r="A683" s="395" t="s">
        <v>546</v>
      </c>
      <c r="B683" s="395" t="s">
        <v>545</v>
      </c>
      <c r="C683" s="395" t="s">
        <v>704</v>
      </c>
      <c r="D683" s="395" t="s">
        <v>223</v>
      </c>
      <c r="E683" s="537">
        <f>COUNTIF($D$5:D683,D683)</f>
        <v>4</v>
      </c>
      <c r="F683" s="537" t="str">
        <f t="shared" si="20"/>
        <v>Herefordshire, County of4</v>
      </c>
      <c r="G683" s="541" t="str">
        <f t="shared" si="21"/>
        <v>NHS South Worcestershire CCG</v>
      </c>
      <c r="H683" s="546">
        <v>7.6404783074650179E-3</v>
      </c>
      <c r="I683" s="546">
        <v>1.2427756789899424E-2</v>
      </c>
      <c r="J683" s="384">
        <f>VLOOKUP($A683,'8.Non-elective admissions - CCG'!$D$5:$N$215,3,0)*$H683</f>
        <v>47.90579898780566</v>
      </c>
      <c r="K683" s="384">
        <f>VLOOKUP($A683,'8.Non-elective admissions - CCG'!$D$5:$N$215,4,0)*$H683</f>
        <v>46.706243893533653</v>
      </c>
      <c r="L683" s="384">
        <f>VLOOKUP($A683,'8.Non-elective admissions - CCG'!$D$5:$N$215,5,0)*$H683</f>
        <v>51.328733269549993</v>
      </c>
      <c r="M683" s="384">
        <f>VLOOKUP($A683,'8.Non-elective admissions - CCG'!$D$5:$N$215,6,0)*$H683</f>
        <v>48.119732380414682</v>
      </c>
      <c r="N683" s="384">
        <f>VLOOKUP($A683,'8.Non-elective admissions - CCG'!$D$5:$N$215,7,0)*$H683</f>
        <v>45.988038932631945</v>
      </c>
      <c r="O683" s="384">
        <f>VLOOKUP($A683,'8.Non-elective admissions - CCG'!$D$5:$N$215,8,0)*$H683</f>
        <v>44.910731491279378</v>
      </c>
      <c r="P683" s="384">
        <f>VLOOKUP($A683,'8.Non-elective admissions - CCG'!$D$5:$N$215,9,0)*$H683</f>
        <v>49.265804126534434</v>
      </c>
      <c r="Q683" s="384">
        <f>VLOOKUP($A683,'8.Non-elective admissions - CCG'!$D$5:$N$215,10,0)*$H683</f>
        <v>45.246912536807834</v>
      </c>
      <c r="R683" s="384">
        <f>VLOOKUP($A683,'8.Non-elective admissions - CCG'!$D$5:$Q$215,11,0)*$H683</f>
        <v>43.734097831929759</v>
      </c>
      <c r="S683" s="384">
        <f>VLOOKUP($A683,'8.Non-elective admissions - CCG'!$D$5:$Q$215,12,0)*$H683</f>
        <v>41.067570902624475</v>
      </c>
      <c r="T683" s="384">
        <f>VLOOKUP($A683,'8.Non-elective admissions - CCG'!$D$5:$Q$215,13,0)*$H683</f>
        <v>46.813210589838164</v>
      </c>
      <c r="U683" s="384">
        <f>VLOOKUP($A683,'8.Non-elective admissions - CCG'!$D$5:$Q$215,14,0)*$H683</f>
        <v>42.099035474132251</v>
      </c>
    </row>
    <row r="684" spans="1:21">
      <c r="A684" s="395" t="s">
        <v>546</v>
      </c>
      <c r="B684" s="395" t="s">
        <v>545</v>
      </c>
      <c r="C684" s="395" t="s">
        <v>759</v>
      </c>
      <c r="D684" s="395" t="s">
        <v>393</v>
      </c>
      <c r="E684" s="537">
        <f>COUNTIF($D$5:D684,D684)</f>
        <v>6</v>
      </c>
      <c r="F684" s="537" t="str">
        <f t="shared" si="20"/>
        <v>Shropshire6</v>
      </c>
      <c r="G684" s="541" t="str">
        <f t="shared" si="21"/>
        <v>NHS South Worcestershire CCG</v>
      </c>
      <c r="H684" s="546">
        <v>1.0625674035558651E-2</v>
      </c>
      <c r="I684" s="546">
        <v>1.0529948204581851E-2</v>
      </c>
      <c r="J684" s="384">
        <f>VLOOKUP($A684,'8.Non-elective admissions - CCG'!$D$5:$N$215,3,0)*$H684</f>
        <v>66.622976202952742</v>
      </c>
      <c r="K684" s="384">
        <f>VLOOKUP($A684,'8.Non-elective admissions - CCG'!$D$5:$N$215,4,0)*$H684</f>
        <v>64.954745379370038</v>
      </c>
      <c r="L684" s="384">
        <f>VLOOKUP($A684,'8.Non-elective admissions - CCG'!$D$5:$N$215,5,0)*$H684</f>
        <v>71.383278170883017</v>
      </c>
      <c r="M684" s="384">
        <f>VLOOKUP($A684,'8.Non-elective admissions - CCG'!$D$5:$N$215,6,0)*$H684</f>
        <v>66.920495075948381</v>
      </c>
      <c r="N684" s="384">
        <f>VLOOKUP($A684,'8.Non-elective admissions - CCG'!$D$5:$N$215,7,0)*$H684</f>
        <v>63.955932020027525</v>
      </c>
      <c r="O684" s="384">
        <f>VLOOKUP($A684,'8.Non-elective admissions - CCG'!$D$5:$N$215,8,0)*$H684</f>
        <v>62.457711981013752</v>
      </c>
      <c r="P684" s="384">
        <f>VLOOKUP($A684,'8.Non-elective admissions - CCG'!$D$5:$N$215,9,0)*$H684</f>
        <v>68.514346181282178</v>
      </c>
      <c r="Q684" s="384">
        <f>VLOOKUP($A684,'8.Non-elective admissions - CCG'!$D$5:$N$215,10,0)*$H684</f>
        <v>62.925241638578335</v>
      </c>
      <c r="R684" s="384">
        <f>VLOOKUP($A684,'8.Non-elective admissions - CCG'!$D$5:$Q$215,11,0)*$H684</f>
        <v>60.821358179537718</v>
      </c>
      <c r="S684" s="384">
        <f>VLOOKUP($A684,'8.Non-elective admissions - CCG'!$D$5:$Q$215,12,0)*$H684</f>
        <v>57.112997941127752</v>
      </c>
      <c r="T684" s="384">
        <f>VLOOKUP($A684,'8.Non-elective admissions - CCG'!$D$5:$Q$215,13,0)*$H684</f>
        <v>65.103504815867851</v>
      </c>
      <c r="U684" s="384">
        <f>VLOOKUP($A684,'8.Non-elective admissions - CCG'!$D$5:$Q$215,14,0)*$H684</f>
        <v>58.547463935928171</v>
      </c>
    </row>
    <row r="685" spans="1:21">
      <c r="A685" s="395" t="s">
        <v>546</v>
      </c>
      <c r="B685" s="395" t="s">
        <v>545</v>
      </c>
      <c r="C685" s="395" t="s">
        <v>799</v>
      </c>
      <c r="D685" s="395" t="s">
        <v>513</v>
      </c>
      <c r="E685" s="537">
        <f>COUNTIF($D$5:D685,D685)</f>
        <v>10</v>
      </c>
      <c r="F685" s="537" t="str">
        <f t="shared" si="20"/>
        <v>Worcestershire10</v>
      </c>
      <c r="G685" s="541" t="str">
        <f t="shared" si="21"/>
        <v>NHS South Worcestershire CCG</v>
      </c>
      <c r="H685" s="546">
        <v>0.9702697494531648</v>
      </c>
      <c r="I685" s="546">
        <v>0.48674588045343842</v>
      </c>
      <c r="J685" s="384">
        <f>VLOOKUP($A685,'8.Non-elective admissions - CCG'!$D$5:$N$215,3,0)*$H685</f>
        <v>6083.5913290713434</v>
      </c>
      <c r="K685" s="384">
        <f>VLOOKUP($A685,'8.Non-elective admissions - CCG'!$D$5:$N$215,4,0)*$H685</f>
        <v>5931.2589784071961</v>
      </c>
      <c r="L685" s="384">
        <f>VLOOKUP($A685,'8.Non-elective admissions - CCG'!$D$5:$N$215,5,0)*$H685</f>
        <v>6518.2721768263609</v>
      </c>
      <c r="M685" s="384">
        <f>VLOOKUP($A685,'8.Non-elective admissions - CCG'!$D$5:$N$215,6,0)*$H685</f>
        <v>6110.7588820560322</v>
      </c>
      <c r="N685" s="384">
        <f>VLOOKUP($A685,'8.Non-elective admissions - CCG'!$D$5:$N$215,7,0)*$H685</f>
        <v>5840.0536219585993</v>
      </c>
      <c r="O685" s="384">
        <f>VLOOKUP($A685,'8.Non-elective admissions - CCG'!$D$5:$N$215,8,0)*$H685</f>
        <v>5703.2455872857026</v>
      </c>
      <c r="P685" s="384">
        <f>VLOOKUP($A685,'8.Non-elective admissions - CCG'!$D$5:$N$215,9,0)*$H685</f>
        <v>6256.2993444740068</v>
      </c>
      <c r="Q685" s="384">
        <f>VLOOKUP($A685,'8.Non-elective admissions - CCG'!$D$5:$N$215,10,0)*$H685</f>
        <v>5745.9374562616422</v>
      </c>
      <c r="R685" s="384">
        <f>VLOOKUP($A685,'8.Non-elective admissions - CCG'!$D$5:$Q$215,11,0)*$H685</f>
        <v>5553.8240458699156</v>
      </c>
      <c r="S685" s="384">
        <f>VLOOKUP($A685,'8.Non-elective admissions - CCG'!$D$5:$Q$215,12,0)*$H685</f>
        <v>5215.1999033107604</v>
      </c>
      <c r="T685" s="384">
        <f>VLOOKUP($A685,'8.Non-elective admissions - CCG'!$D$5:$Q$215,13,0)*$H685</f>
        <v>5944.8427548995405</v>
      </c>
      <c r="U685" s="384">
        <f>VLOOKUP($A685,'8.Non-elective admissions - CCG'!$D$5:$Q$215,14,0)*$H685</f>
        <v>5346.1863194869384</v>
      </c>
    </row>
    <row r="686" spans="1:21">
      <c r="A686" s="395" t="s">
        <v>548</v>
      </c>
      <c r="B686" s="395" t="s">
        <v>547</v>
      </c>
      <c r="C686" s="395" t="s">
        <v>699</v>
      </c>
      <c r="D686" s="395" t="s">
        <v>205</v>
      </c>
      <c r="E686" s="537">
        <f>COUNTIF($D$5:D686,D686)</f>
        <v>12</v>
      </c>
      <c r="F686" s="537" t="str">
        <f t="shared" si="20"/>
        <v>Hampshire12</v>
      </c>
      <c r="G686" s="541" t="str">
        <f t="shared" si="21"/>
        <v>NHS Southampton CCG</v>
      </c>
      <c r="H686" s="546">
        <v>5.7157993214531265E-2</v>
      </c>
      <c r="I686" s="546">
        <v>1.1204723174178097E-2</v>
      </c>
      <c r="J686" s="384">
        <f>VLOOKUP($A686,'8.Non-elective admissions - CCG'!$D$5:$N$215,3,0)*$H686</f>
        <v>429.42800302077342</v>
      </c>
      <c r="K686" s="384">
        <f>VLOOKUP($A686,'8.Non-elective admissions - CCG'!$D$5:$N$215,4,0)*$H686</f>
        <v>424.6838895839673</v>
      </c>
      <c r="L686" s="384">
        <f>VLOOKUP($A686,'8.Non-elective admissions - CCG'!$D$5:$N$215,5,0)*$H686</f>
        <v>443.88897530404978</v>
      </c>
      <c r="M686" s="384">
        <f>VLOOKUP($A686,'8.Non-elective admissions - CCG'!$D$5:$N$215,6,0)*$H686</f>
        <v>419.08240624894324</v>
      </c>
      <c r="N686" s="384">
        <f>VLOOKUP($A686,'8.Non-elective admissions - CCG'!$D$5:$N$215,7,0)*$H686</f>
        <v>428.51347512934092</v>
      </c>
      <c r="O686" s="384">
        <f>VLOOKUP($A686,'8.Non-elective admissions - CCG'!$D$5:$N$215,8,0)*$H686</f>
        <v>427.54178924469386</v>
      </c>
      <c r="P686" s="384">
        <f>VLOOKUP($A686,'8.Non-elective admissions - CCG'!$D$5:$N$215,9,0)*$H686</f>
        <v>444.51771322940965</v>
      </c>
      <c r="Q686" s="384">
        <f>VLOOKUP($A686,'8.Non-elective admissions - CCG'!$D$5:$N$215,10,0)*$H686</f>
        <v>434.17211645757948</v>
      </c>
      <c r="R686" s="384">
        <f>VLOOKUP($A686,'8.Non-elective admissions - CCG'!$D$5:$Q$215,11,0)*$H686</f>
        <v>424.45525761110918</v>
      </c>
      <c r="S686" s="384">
        <f>VLOOKUP($A686,'8.Non-elective admissions - CCG'!$D$5:$Q$215,12,0)*$H686</f>
        <v>423.48357172646212</v>
      </c>
      <c r="T686" s="384">
        <f>VLOOKUP($A686,'8.Non-elective admissions - CCG'!$D$5:$Q$215,13,0)*$H686</f>
        <v>440.28802173153434</v>
      </c>
      <c r="U686" s="384">
        <f>VLOOKUP($A686,'8.Non-elective admissions - CCG'!$D$5:$Q$215,14,0)*$H686</f>
        <v>434.91517036936841</v>
      </c>
    </row>
    <row r="687" spans="1:21">
      <c r="A687" s="395" t="s">
        <v>548</v>
      </c>
      <c r="B687" s="395" t="s">
        <v>547</v>
      </c>
      <c r="C687" s="395" t="s">
        <v>765</v>
      </c>
      <c r="D687" s="395" t="s">
        <v>411</v>
      </c>
      <c r="E687" s="537">
        <f>COUNTIF($D$5:D687,D687)</f>
        <v>1</v>
      </c>
      <c r="F687" s="537" t="str">
        <f t="shared" si="20"/>
        <v>Southampton1</v>
      </c>
      <c r="G687" s="541" t="str">
        <f t="shared" si="21"/>
        <v>NHS Southampton CCG</v>
      </c>
      <c r="H687" s="546">
        <v>0.94284200678546859</v>
      </c>
      <c r="I687" s="546">
        <v>0.99555273441374248</v>
      </c>
      <c r="J687" s="384">
        <f>VLOOKUP($A687,'8.Non-elective admissions - CCG'!$D$5:$N$215,3,0)*$H687</f>
        <v>7083.5719969792253</v>
      </c>
      <c r="K687" s="384">
        <f>VLOOKUP($A687,'8.Non-elective admissions - CCG'!$D$5:$N$215,4,0)*$H687</f>
        <v>7005.3161104160317</v>
      </c>
      <c r="L687" s="384">
        <f>VLOOKUP($A687,'8.Non-elective admissions - CCG'!$D$5:$N$215,5,0)*$H687</f>
        <v>7322.1110246959488</v>
      </c>
      <c r="M687" s="384">
        <f>VLOOKUP($A687,'8.Non-elective admissions - CCG'!$D$5:$N$215,6,0)*$H687</f>
        <v>6912.9175937510554</v>
      </c>
      <c r="N687" s="384">
        <f>VLOOKUP($A687,'8.Non-elective admissions - CCG'!$D$5:$N$215,7,0)*$H687</f>
        <v>7068.4865248706583</v>
      </c>
      <c r="O687" s="384">
        <f>VLOOKUP($A687,'8.Non-elective admissions - CCG'!$D$5:$N$215,8,0)*$H687</f>
        <v>7052.4582107553051</v>
      </c>
      <c r="P687" s="384">
        <f>VLOOKUP($A687,'8.Non-elective admissions - CCG'!$D$5:$N$215,9,0)*$H687</f>
        <v>7332.4822867705889</v>
      </c>
      <c r="Q687" s="384">
        <f>VLOOKUP($A687,'8.Non-elective admissions - CCG'!$D$5:$N$215,10,0)*$H687</f>
        <v>7161.8278835424198</v>
      </c>
      <c r="R687" s="384">
        <f>VLOOKUP($A687,'8.Non-elective admissions - CCG'!$D$5:$Q$215,11,0)*$H687</f>
        <v>7001.54474238889</v>
      </c>
      <c r="S687" s="384">
        <f>VLOOKUP($A687,'8.Non-elective admissions - CCG'!$D$5:$Q$215,12,0)*$H687</f>
        <v>6985.5164282735368</v>
      </c>
      <c r="T687" s="384">
        <f>VLOOKUP($A687,'8.Non-elective admissions - CCG'!$D$5:$Q$215,13,0)*$H687</f>
        <v>7262.7119782684649</v>
      </c>
      <c r="U687" s="384">
        <f>VLOOKUP($A687,'8.Non-elective admissions - CCG'!$D$5:$Q$215,14,0)*$H687</f>
        <v>7174.0848296306303</v>
      </c>
    </row>
    <row r="688" spans="1:21">
      <c r="A688" s="395" t="s">
        <v>550</v>
      </c>
      <c r="B688" s="395" t="s">
        <v>549</v>
      </c>
      <c r="C688" s="395" t="s">
        <v>692</v>
      </c>
      <c r="D688" s="395" t="s">
        <v>180</v>
      </c>
      <c r="E688" s="537">
        <f>COUNTIF($D$5:D688,D688)</f>
        <v>10</v>
      </c>
      <c r="F688" s="537" t="str">
        <f t="shared" si="20"/>
        <v>Essex10</v>
      </c>
      <c r="G688" s="541" t="str">
        <f t="shared" si="21"/>
        <v>NHS Southend CCG</v>
      </c>
      <c r="H688" s="546">
        <v>3.5286025325779659E-2</v>
      </c>
      <c r="I688" s="546">
        <v>4.4249170030916688E-3</v>
      </c>
      <c r="J688" s="384">
        <f>VLOOKUP($A688,'8.Non-elective admissions - CCG'!$D$5:$N$215,3,0)*$H688</f>
        <v>151.30647659694318</v>
      </c>
      <c r="K688" s="384">
        <f>VLOOKUP($A688,'8.Non-elective admissions - CCG'!$D$5:$N$215,4,0)*$H688</f>
        <v>163.97415968889808</v>
      </c>
      <c r="L688" s="384">
        <f>VLOOKUP($A688,'8.Non-elective admissions - CCG'!$D$5:$N$215,5,0)*$H688</f>
        <v>160.33969908034277</v>
      </c>
      <c r="M688" s="384">
        <f>VLOOKUP($A688,'8.Non-elective admissions - CCG'!$D$5:$N$215,6,0)*$H688</f>
        <v>170.74907655144776</v>
      </c>
      <c r="N688" s="384">
        <f>VLOOKUP($A688,'8.Non-elective admissions - CCG'!$D$5:$N$215,7,0)*$H688</f>
        <v>155.64882246746572</v>
      </c>
      <c r="O688" s="384">
        <f>VLOOKUP($A688,'8.Non-elective admissions - CCG'!$D$5:$N$215,8,0)*$H688</f>
        <v>167.73919946711234</v>
      </c>
      <c r="P688" s="384">
        <f>VLOOKUP($A688,'8.Non-elective admissions - CCG'!$D$5:$N$215,9,0)*$H688</f>
        <v>163.29319159114132</v>
      </c>
      <c r="Q688" s="384">
        <f>VLOOKUP($A688,'8.Non-elective admissions - CCG'!$D$5:$N$215,10,0)*$H688</f>
        <v>162.54022092761193</v>
      </c>
      <c r="R688" s="384">
        <f>VLOOKUP($A688,'8.Non-elective admissions - CCG'!$D$5:$Q$215,11,0)*$H688</f>
        <v>153.22379216715274</v>
      </c>
      <c r="S688" s="384">
        <f>VLOOKUP($A688,'8.Non-elective admissions - CCG'!$D$5:$Q$215,12,0)*$H688</f>
        <v>165.09811999859232</v>
      </c>
      <c r="T688" s="384">
        <f>VLOOKUP($A688,'8.Non-elective admissions - CCG'!$D$5:$Q$215,13,0)*$H688</f>
        <v>160.74003065241183</v>
      </c>
      <c r="U688" s="384">
        <f>VLOOKUP($A688,'8.Non-elective admissions - CCG'!$D$5:$Q$215,14,0)*$H688</f>
        <v>160.00519968530898</v>
      </c>
    </row>
    <row r="689" spans="1:21">
      <c r="A689" s="395" t="s">
        <v>550</v>
      </c>
      <c r="B689" s="395" t="s">
        <v>549</v>
      </c>
      <c r="C689" s="395" t="s">
        <v>766</v>
      </c>
      <c r="D689" s="395" t="s">
        <v>414</v>
      </c>
      <c r="E689" s="537">
        <f>COUNTIF($D$5:D689,D689)</f>
        <v>2</v>
      </c>
      <c r="F689" s="537" t="str">
        <f t="shared" si="20"/>
        <v>Southend-on-Sea2</v>
      </c>
      <c r="G689" s="541" t="str">
        <f t="shared" si="21"/>
        <v>NHS Southend CCG</v>
      </c>
      <c r="H689" s="546">
        <v>0.96471397467422049</v>
      </c>
      <c r="I689" s="546">
        <v>0.95807716512562335</v>
      </c>
      <c r="J689" s="384">
        <f>VLOOKUP($A689,'8.Non-elective admissions - CCG'!$D$5:$N$215,3,0)*$H689</f>
        <v>4136.693523403057</v>
      </c>
      <c r="K689" s="384">
        <f>VLOOKUP($A689,'8.Non-elective admissions - CCG'!$D$5:$N$215,4,0)*$H689</f>
        <v>4483.0258403111029</v>
      </c>
      <c r="L689" s="384">
        <f>VLOOKUP($A689,'8.Non-elective admissions - CCG'!$D$5:$N$215,5,0)*$H689</f>
        <v>4383.6603009196579</v>
      </c>
      <c r="M689" s="384">
        <f>VLOOKUP($A689,'8.Non-elective admissions - CCG'!$D$5:$N$215,6,0)*$H689</f>
        <v>4668.2509234485533</v>
      </c>
      <c r="N689" s="384">
        <f>VLOOKUP($A689,'8.Non-elective admissions - CCG'!$D$5:$N$215,7,0)*$H689</f>
        <v>4255.4125263365349</v>
      </c>
      <c r="O689" s="384">
        <f>VLOOKUP($A689,'8.Non-elective admissions - CCG'!$D$5:$N$215,8,0)*$H689</f>
        <v>4585.9613921538885</v>
      </c>
      <c r="P689" s="384">
        <f>VLOOKUP($A689,'8.Non-elective admissions - CCG'!$D$5:$N$215,9,0)*$H689</f>
        <v>4464.4082874938604</v>
      </c>
      <c r="Q689" s="384">
        <f>VLOOKUP($A689,'8.Non-elective admissions - CCG'!$D$5:$N$215,10,0)*$H689</f>
        <v>4443.822196685388</v>
      </c>
      <c r="R689" s="384">
        <f>VLOOKUP($A689,'8.Non-elective admissions - CCG'!$D$5:$Q$215,11,0)*$H689</f>
        <v>4189.1126073708483</v>
      </c>
      <c r="S689" s="384">
        <f>VLOOKUP($A689,'8.Non-elective admissions - CCG'!$D$5:$Q$215,12,0)*$H689</f>
        <v>4513.7547254074079</v>
      </c>
      <c r="T689" s="384">
        <f>VLOOKUP($A689,'8.Non-elective admissions - CCG'!$D$5:$Q$215,13,0)*$H689</f>
        <v>4394.6052985075885</v>
      </c>
      <c r="U689" s="384">
        <f>VLOOKUP($A689,'8.Non-elective admissions - CCG'!$D$5:$Q$215,14,0)*$H689</f>
        <v>4374.5151439366919</v>
      </c>
    </row>
    <row r="690" spans="1:21">
      <c r="A690" s="395" t="s">
        <v>552</v>
      </c>
      <c r="B690" s="395" t="s">
        <v>551</v>
      </c>
      <c r="C690" s="395" t="s">
        <v>682</v>
      </c>
      <c r="D690" s="395" t="s">
        <v>143</v>
      </c>
      <c r="E690" s="537">
        <f>COUNTIF($D$5:D690,D690)</f>
        <v>1</v>
      </c>
      <c r="F690" s="537" t="str">
        <f t="shared" si="20"/>
        <v>Derby1</v>
      </c>
      <c r="G690" s="541" t="str">
        <f t="shared" si="21"/>
        <v>NHS Southern Derbyshire CCG</v>
      </c>
      <c r="H690" s="546">
        <v>0.5000651075576853</v>
      </c>
      <c r="I690" s="546">
        <v>1</v>
      </c>
      <c r="J690" s="384">
        <f>VLOOKUP($A690,'8.Non-elective admissions - CCG'!$D$5:$N$215,3,0)*$H690</f>
        <v>7094.9237460284394</v>
      </c>
      <c r="K690" s="384">
        <f>VLOOKUP($A690,'8.Non-elective admissions - CCG'!$D$5:$N$215,4,0)*$H690</f>
        <v>7167.9332517318608</v>
      </c>
      <c r="L690" s="384">
        <f>VLOOKUP($A690,'8.Non-elective admissions - CCG'!$D$5:$N$215,5,0)*$H690</f>
        <v>7286.9487473305899</v>
      </c>
      <c r="M690" s="384">
        <f>VLOOKUP($A690,'8.Non-elective admissions - CCG'!$D$5:$N$215,6,0)*$H690</f>
        <v>7333.9548674410125</v>
      </c>
      <c r="N690" s="384">
        <f>VLOOKUP($A690,'8.Non-elective admissions - CCG'!$D$5:$N$215,7,0)*$H690</f>
        <v>6814.5053488401445</v>
      </c>
      <c r="O690" s="384">
        <f>VLOOKUP($A690,'8.Non-elective admissions - CCG'!$D$5:$N$215,8,0)*$H690</f>
        <v>6903.3991375000069</v>
      </c>
      <c r="P690" s="384">
        <f>VLOOKUP($A690,'8.Non-elective admissions - CCG'!$D$5:$N$215,9,0)*$H690</f>
        <v>7107.3923982145316</v>
      </c>
      <c r="Q690" s="384">
        <f>VLOOKUP($A690,'8.Non-elective admissions - CCG'!$D$5:$N$215,10,0)*$H690</f>
        <v>7075.0206717052524</v>
      </c>
      <c r="R690" s="384">
        <f>VLOOKUP($A690,'8.Non-elective admissions - CCG'!$D$5:$Q$215,11,0)*$H690</f>
        <v>6518.5380759018153</v>
      </c>
      <c r="S690" s="384">
        <f>VLOOKUP($A690,'8.Non-elective admissions - CCG'!$D$5:$Q$215,12,0)*$H690</f>
        <v>6603.571033783106</v>
      </c>
      <c r="T690" s="384">
        <f>VLOOKUP($A690,'8.Non-elective admissions - CCG'!$D$5:$Q$215,13,0)*$H690</f>
        <v>6798.7044688131145</v>
      </c>
      <c r="U690" s="384">
        <f>VLOOKUP($A690,'8.Non-elective admissions - CCG'!$D$5:$Q$215,14,0)*$H690</f>
        <v>6767.7387096637003</v>
      </c>
    </row>
    <row r="691" spans="1:21">
      <c r="A691" s="395" t="s">
        <v>552</v>
      </c>
      <c r="B691" s="395" t="s">
        <v>551</v>
      </c>
      <c r="C691" s="395" t="s">
        <v>683</v>
      </c>
      <c r="D691" s="395" t="s">
        <v>146</v>
      </c>
      <c r="E691" s="537">
        <f>COUNTIF($D$5:D691,D691)</f>
        <v>11</v>
      </c>
      <c r="F691" s="537" t="str">
        <f t="shared" si="20"/>
        <v>Derbyshire11</v>
      </c>
      <c r="G691" s="541" t="str">
        <f t="shared" si="21"/>
        <v>NHS Southern Derbyshire CCG</v>
      </c>
      <c r="H691" s="546">
        <v>0.48267022836010803</v>
      </c>
      <c r="I691" s="546">
        <v>0.32875931275657594</v>
      </c>
      <c r="J691" s="384">
        <f>VLOOKUP($A691,'8.Non-elective admissions - CCG'!$D$5:$N$215,3,0)*$H691</f>
        <v>6848.1251999732131</v>
      </c>
      <c r="K691" s="384">
        <f>VLOOKUP($A691,'8.Non-elective admissions - CCG'!$D$5:$N$215,4,0)*$H691</f>
        <v>6918.5950533137884</v>
      </c>
      <c r="L691" s="384">
        <f>VLOOKUP($A691,'8.Non-elective admissions - CCG'!$D$5:$N$215,5,0)*$H691</f>
        <v>7033.470567663494</v>
      </c>
      <c r="M691" s="384">
        <f>VLOOKUP($A691,'8.Non-elective admissions - CCG'!$D$5:$N$215,6,0)*$H691</f>
        <v>7078.8415691293449</v>
      </c>
      <c r="N691" s="384">
        <f>VLOOKUP($A691,'8.Non-elective admissions - CCG'!$D$5:$N$215,7,0)*$H691</f>
        <v>6577.4612208999752</v>
      </c>
      <c r="O691" s="384">
        <f>VLOOKUP($A691,'8.Non-elective admissions - CCG'!$D$5:$N$215,8,0)*$H691</f>
        <v>6663.2628187795108</v>
      </c>
      <c r="P691" s="384">
        <f>VLOOKUP($A691,'8.Non-elective admissions - CCG'!$D$5:$N$215,9,0)*$H691</f>
        <v>6860.1601272397784</v>
      </c>
      <c r="Q691" s="384">
        <f>VLOOKUP($A691,'8.Non-elective admissions - CCG'!$D$5:$N$215,10,0)*$H691</f>
        <v>6828.9144586448301</v>
      </c>
      <c r="R691" s="384">
        <f>VLOOKUP($A691,'8.Non-elective admissions - CCG'!$D$5:$Q$215,11,0)*$H691</f>
        <v>6291.7892372777578</v>
      </c>
      <c r="S691" s="384">
        <f>VLOOKUP($A691,'8.Non-elective admissions - CCG'!$D$5:$Q$215,12,0)*$H691</f>
        <v>6373.8643042608373</v>
      </c>
      <c r="T691" s="384">
        <f>VLOOKUP($A691,'8.Non-elective admissions - CCG'!$D$5:$Q$215,13,0)*$H691</f>
        <v>6562.2099781004417</v>
      </c>
      <c r="U691" s="384">
        <f>VLOOKUP($A691,'8.Non-elective admissions - CCG'!$D$5:$Q$215,14,0)*$H691</f>
        <v>6532.3213699690141</v>
      </c>
    </row>
    <row r="692" spans="1:21">
      <c r="A692" s="395" t="s">
        <v>552</v>
      </c>
      <c r="B692" s="395" t="s">
        <v>551</v>
      </c>
      <c r="C692" s="395" t="s">
        <v>721</v>
      </c>
      <c r="D692" s="395" t="s">
        <v>279</v>
      </c>
      <c r="E692" s="537">
        <f>COUNTIF($D$5:D692,D692)</f>
        <v>6</v>
      </c>
      <c r="F692" s="537" t="str">
        <f t="shared" si="20"/>
        <v>Leicestershire6</v>
      </c>
      <c r="G692" s="541" t="str">
        <f t="shared" si="21"/>
        <v>NHS Southern Derbyshire CCG</v>
      </c>
      <c r="H692" s="546">
        <v>6.1796373323015335E-3</v>
      </c>
      <c r="I692" s="546">
        <v>4.8774758108326354E-3</v>
      </c>
      <c r="J692" s="384">
        <f>VLOOKUP($A692,'8.Non-elective admissions - CCG'!$D$5:$N$215,3,0)*$H692</f>
        <v>87.676694470694159</v>
      </c>
      <c r="K692" s="384">
        <f>VLOOKUP($A692,'8.Non-elective admissions - CCG'!$D$5:$N$215,4,0)*$H692</f>
        <v>88.578921521210177</v>
      </c>
      <c r="L692" s="384">
        <f>VLOOKUP($A692,'8.Non-elective admissions - CCG'!$D$5:$N$215,5,0)*$H692</f>
        <v>90.049675206297948</v>
      </c>
      <c r="M692" s="384">
        <f>VLOOKUP($A692,'8.Non-elective admissions - CCG'!$D$5:$N$215,6,0)*$H692</f>
        <v>90.630561115534292</v>
      </c>
      <c r="N692" s="384">
        <f>VLOOKUP($A692,'8.Non-elective admissions - CCG'!$D$5:$N$215,7,0)*$H692</f>
        <v>84.211377715457346</v>
      </c>
      <c r="O692" s="384">
        <f>VLOOKUP($A692,'8.Non-elective admissions - CCG'!$D$5:$N$215,8,0)*$H692</f>
        <v>85.309897421611495</v>
      </c>
      <c r="P692" s="384">
        <f>VLOOKUP($A692,'8.Non-elective admissions - CCG'!$D$5:$N$215,9,0)*$H692</f>
        <v>87.830777903767455</v>
      </c>
      <c r="Q692" s="384">
        <f>VLOOKUP($A692,'8.Non-elective admissions - CCG'!$D$5:$N$215,10,0)*$H692</f>
        <v>87.43073893559226</v>
      </c>
      <c r="R692" s="384">
        <f>VLOOKUP($A692,'8.Non-elective admissions - CCG'!$D$5:$Q$215,11,0)*$H692</f>
        <v>80.553913154648754</v>
      </c>
      <c r="S692" s="384">
        <f>VLOOKUP($A692,'8.Non-elective admissions - CCG'!$D$5:$Q$215,12,0)*$H692</f>
        <v>81.604722005451507</v>
      </c>
      <c r="T692" s="384">
        <f>VLOOKUP($A692,'8.Non-elective admissions - CCG'!$D$5:$Q$215,13,0)*$H692</f>
        <v>84.016115725323417</v>
      </c>
      <c r="U692" s="384">
        <f>VLOOKUP($A692,'8.Non-elective admissions - CCG'!$D$5:$Q$215,14,0)*$H692</f>
        <v>83.63345123149908</v>
      </c>
    </row>
    <row r="693" spans="1:21">
      <c r="A693" s="395" t="s">
        <v>552</v>
      </c>
      <c r="B693" s="395" t="s">
        <v>551</v>
      </c>
      <c r="C693" s="395" t="s">
        <v>742</v>
      </c>
      <c r="D693" s="395" t="s">
        <v>342</v>
      </c>
      <c r="E693" s="537">
        <f>COUNTIF($D$5:D693,D693)</f>
        <v>14</v>
      </c>
      <c r="F693" s="537" t="str">
        <f t="shared" si="20"/>
        <v>Nottinghamshire14</v>
      </c>
      <c r="G693" s="541" t="str">
        <f t="shared" si="21"/>
        <v>NHS Southern Derbyshire CCG</v>
      </c>
      <c r="H693" s="546">
        <v>6.239164242185233E-3</v>
      </c>
      <c r="I693" s="546">
        <v>4.0976846981897611E-3</v>
      </c>
      <c r="J693" s="384">
        <f>VLOOKUP($A693,'8.Non-elective admissions - CCG'!$D$5:$N$215,3,0)*$H693</f>
        <v>88.52126226812409</v>
      </c>
      <c r="K693" s="384">
        <f>VLOOKUP($A693,'8.Non-elective admissions - CCG'!$D$5:$N$215,4,0)*$H693</f>
        <v>89.432180247483132</v>
      </c>
      <c r="L693" s="384">
        <f>VLOOKUP($A693,'8.Non-elective admissions - CCG'!$D$5:$N$215,5,0)*$H693</f>
        <v>90.917101337123214</v>
      </c>
      <c r="M693" s="384">
        <f>VLOOKUP($A693,'8.Non-elective admissions - CCG'!$D$5:$N$215,6,0)*$H693</f>
        <v>91.503582775888631</v>
      </c>
      <c r="N693" s="384">
        <f>VLOOKUP($A693,'8.Non-elective admissions - CCG'!$D$5:$N$215,7,0)*$H693</f>
        <v>85.022564978219137</v>
      </c>
      <c r="O693" s="384">
        <f>VLOOKUP($A693,'8.Non-elective admissions - CCG'!$D$5:$N$215,8,0)*$H693</f>
        <v>86.13166645156079</v>
      </c>
      <c r="P693" s="384">
        <f>VLOOKUP($A693,'8.Non-elective admissions - CCG'!$D$5:$N$215,9,0)*$H693</f>
        <v>88.676829948596051</v>
      </c>
      <c r="Q693" s="384">
        <f>VLOOKUP($A693,'8.Non-elective admissions - CCG'!$D$5:$N$215,10,0)*$H693</f>
        <v>88.272937504508263</v>
      </c>
      <c r="R693" s="384">
        <f>VLOOKUP($A693,'8.Non-elective admissions - CCG'!$D$5:$Q$215,11,0)*$H693</f>
        <v>81.329868970707977</v>
      </c>
      <c r="S693" s="384">
        <f>VLOOKUP($A693,'8.Non-elective admissions - CCG'!$D$5:$Q$215,12,0)*$H693</f>
        <v>82.390800001891733</v>
      </c>
      <c r="T693" s="384">
        <f>VLOOKUP($A693,'8.Non-elective admissions - CCG'!$D$5:$Q$215,13,0)*$H693</f>
        <v>84.825422077885236</v>
      </c>
      <c r="U693" s="384">
        <f>VLOOKUP($A693,'8.Non-elective admissions - CCG'!$D$5:$Q$215,14,0)*$H693</f>
        <v>84.439071472139645</v>
      </c>
    </row>
    <row r="694" spans="1:21">
      <c r="A694" s="395" t="s">
        <v>552</v>
      </c>
      <c r="B694" s="395" t="s">
        <v>551</v>
      </c>
      <c r="C694" s="395" t="s">
        <v>769</v>
      </c>
      <c r="D694" s="395" t="s">
        <v>423</v>
      </c>
      <c r="E694" s="537">
        <f>COUNTIF($D$5:D694,D694)</f>
        <v>11</v>
      </c>
      <c r="F694" s="537" t="str">
        <f t="shared" si="20"/>
        <v>Staffordshire11</v>
      </c>
      <c r="G694" s="541" t="str">
        <f t="shared" si="21"/>
        <v>NHS Southern Derbyshire CCG</v>
      </c>
      <c r="H694" s="546">
        <v>4.8458625077198959E-3</v>
      </c>
      <c r="I694" s="546">
        <v>2.995382167069884E-3</v>
      </c>
      <c r="J694" s="384">
        <f>VLOOKUP($A694,'8.Non-elective admissions - CCG'!$D$5:$N$215,3,0)*$H694</f>
        <v>68.753097259529881</v>
      </c>
      <c r="K694" s="384">
        <f>VLOOKUP($A694,'8.Non-elective admissions - CCG'!$D$5:$N$215,4,0)*$H694</f>
        <v>69.46059318565699</v>
      </c>
      <c r="L694" s="384">
        <f>VLOOKUP($A694,'8.Non-elective admissions - CCG'!$D$5:$N$215,5,0)*$H694</f>
        <v>70.613908462494322</v>
      </c>
      <c r="M694" s="384">
        <f>VLOOKUP($A694,'8.Non-elective admissions - CCG'!$D$5:$N$215,6,0)*$H694</f>
        <v>71.069419538219989</v>
      </c>
      <c r="N694" s="384">
        <f>VLOOKUP($A694,'8.Non-elective admissions - CCG'!$D$5:$N$215,7,0)*$H694</f>
        <v>66.035713109201197</v>
      </c>
      <c r="O694" s="384">
        <f>VLOOKUP($A694,'8.Non-elective admissions - CCG'!$D$5:$N$215,8,0)*$H694</f>
        <v>66.89713509431003</v>
      </c>
      <c r="P694" s="384">
        <f>VLOOKUP($A694,'8.Non-elective admissions - CCG'!$D$5:$N$215,9,0)*$H694</f>
        <v>68.873924274326981</v>
      </c>
      <c r="Q694" s="384">
        <f>VLOOKUP($A694,'8.Non-elective admissions - CCG'!$D$5:$N$215,10,0)*$H694</f>
        <v>68.56022725081813</v>
      </c>
      <c r="R694" s="384">
        <f>VLOOKUP($A694,'8.Non-elective admissions - CCG'!$D$5:$Q$215,11,0)*$H694</f>
        <v>63.16765315107164</v>
      </c>
      <c r="S694" s="384">
        <f>VLOOKUP($A694,'8.Non-elective admissions - CCG'!$D$5:$Q$215,12,0)*$H694</f>
        <v>63.991661897712575</v>
      </c>
      <c r="T694" s="384">
        <f>VLOOKUP($A694,'8.Non-elective admissions - CCG'!$D$5:$Q$215,13,0)*$H694</f>
        <v>65.882595263235245</v>
      </c>
      <c r="U694" s="384">
        <f>VLOOKUP($A694,'8.Non-elective admissions - CCG'!$D$5:$Q$215,14,0)*$H694</f>
        <v>65.582522714646316</v>
      </c>
    </row>
    <row r="695" spans="1:21">
      <c r="A695" s="395" t="s">
        <v>554</v>
      </c>
      <c r="B695" s="395" t="s">
        <v>553</v>
      </c>
      <c r="C695" s="395" t="s">
        <v>718</v>
      </c>
      <c r="D695" s="395" t="s">
        <v>270</v>
      </c>
      <c r="E695" s="537">
        <f>COUNTIF($D$5:D695,D695)</f>
        <v>14</v>
      </c>
      <c r="F695" s="537" t="str">
        <f t="shared" si="20"/>
        <v>Lancashire14</v>
      </c>
      <c r="G695" s="541" t="str">
        <f t="shared" si="21"/>
        <v>NHS Southport and Formby CCG</v>
      </c>
      <c r="H695" s="546">
        <v>3.0035494267879728E-2</v>
      </c>
      <c r="I695" s="546">
        <v>3.0015533711415443E-3</v>
      </c>
      <c r="J695" s="384">
        <f>VLOOKUP($A695,'8.Non-elective admissions - CCG'!$D$5:$N$215,3,0)*$H695</f>
        <v>112.39281955040595</v>
      </c>
      <c r="K695" s="384">
        <f>VLOOKUP($A695,'8.Non-elective admissions - CCG'!$D$5:$N$215,4,0)*$H695</f>
        <v>110.80093835420831</v>
      </c>
      <c r="L695" s="384">
        <f>VLOOKUP($A695,'8.Non-elective admissions - CCG'!$D$5:$N$215,5,0)*$H695</f>
        <v>116.29743380523031</v>
      </c>
      <c r="M695" s="384">
        <f>VLOOKUP($A695,'8.Non-elective admissions - CCG'!$D$5:$N$215,6,0)*$H695</f>
        <v>122.27449716453837</v>
      </c>
      <c r="N695" s="384">
        <f>VLOOKUP($A695,'8.Non-elective admissions - CCG'!$D$5:$N$215,7,0)*$H695</f>
        <v>116.68789523071274</v>
      </c>
      <c r="O695" s="384">
        <f>VLOOKUP($A695,'8.Non-elective admissions - CCG'!$D$5:$N$215,8,0)*$H695</f>
        <v>116.38754028803395</v>
      </c>
      <c r="P695" s="384">
        <f>VLOOKUP($A695,'8.Non-elective admissions - CCG'!$D$5:$N$215,9,0)*$H695</f>
        <v>107.10657255925911</v>
      </c>
      <c r="Q695" s="384">
        <f>VLOOKUP($A695,'8.Non-elective admissions - CCG'!$D$5:$N$215,10,0)*$H695</f>
        <v>128.88230590347192</v>
      </c>
      <c r="R695" s="384">
        <f>VLOOKUP($A695,'8.Non-elective admissions - CCG'!$D$5:$Q$215,11,0)*$H695</f>
        <v>114.34512667781813</v>
      </c>
      <c r="S695" s="384">
        <f>VLOOKUP($A695,'8.Non-elective admissions - CCG'!$D$5:$Q$215,12,0)*$H695</f>
        <v>114.04477173513934</v>
      </c>
      <c r="T695" s="384">
        <f>VLOOKUP($A695,'8.Non-elective admissions - CCG'!$D$5:$Q$215,13,0)*$H695</f>
        <v>104.88394598343601</v>
      </c>
      <c r="U695" s="384">
        <f>VLOOKUP($A695,'8.Non-elective admissions - CCG'!$D$5:$Q$215,14,0)*$H695</f>
        <v>126.26921790216637</v>
      </c>
    </row>
    <row r="696" spans="1:21">
      <c r="A696" s="395" t="s">
        <v>554</v>
      </c>
      <c r="B696" s="395" t="s">
        <v>553</v>
      </c>
      <c r="C696" s="395" t="s">
        <v>757</v>
      </c>
      <c r="D696" s="395" t="s">
        <v>387</v>
      </c>
      <c r="E696" s="537">
        <f>COUNTIF($D$5:D696,D696)</f>
        <v>4</v>
      </c>
      <c r="F696" s="537" t="str">
        <f t="shared" si="20"/>
        <v>Sefton4</v>
      </c>
      <c r="G696" s="541" t="str">
        <f t="shared" si="21"/>
        <v>NHS Southport and Formby CCG</v>
      </c>
      <c r="H696" s="546">
        <v>0.96996450573212023</v>
      </c>
      <c r="I696" s="546">
        <v>0.41667776648322752</v>
      </c>
      <c r="J696" s="384">
        <f>VLOOKUP($A696,'8.Non-elective admissions - CCG'!$D$5:$N$215,3,0)*$H696</f>
        <v>3629.6071804495941</v>
      </c>
      <c r="K696" s="384">
        <f>VLOOKUP($A696,'8.Non-elective admissions - CCG'!$D$5:$N$215,4,0)*$H696</f>
        <v>3578.1990616457915</v>
      </c>
      <c r="L696" s="384">
        <f>VLOOKUP($A696,'8.Non-elective admissions - CCG'!$D$5:$N$215,5,0)*$H696</f>
        <v>3755.7025661947696</v>
      </c>
      <c r="M696" s="384">
        <f>VLOOKUP($A696,'8.Non-elective admissions - CCG'!$D$5:$N$215,6,0)*$H696</f>
        <v>3948.7255028354616</v>
      </c>
      <c r="N696" s="384">
        <f>VLOOKUP($A696,'8.Non-elective admissions - CCG'!$D$5:$N$215,7,0)*$H696</f>
        <v>3768.3121047692871</v>
      </c>
      <c r="O696" s="384">
        <f>VLOOKUP($A696,'8.Non-elective admissions - CCG'!$D$5:$N$215,8,0)*$H696</f>
        <v>3758.612459711966</v>
      </c>
      <c r="P696" s="384">
        <f>VLOOKUP($A696,'8.Non-elective admissions - CCG'!$D$5:$N$215,9,0)*$H696</f>
        <v>3458.8934274407407</v>
      </c>
      <c r="Q696" s="384">
        <f>VLOOKUP($A696,'8.Non-elective admissions - CCG'!$D$5:$N$215,10,0)*$H696</f>
        <v>4162.1176940965279</v>
      </c>
      <c r="R696" s="384">
        <f>VLOOKUP($A696,'8.Non-elective admissions - CCG'!$D$5:$Q$215,11,0)*$H696</f>
        <v>3692.6548733221816</v>
      </c>
      <c r="S696" s="384">
        <f>VLOOKUP($A696,'8.Non-elective admissions - CCG'!$D$5:$Q$215,12,0)*$H696</f>
        <v>3682.9552282648606</v>
      </c>
      <c r="T696" s="384">
        <f>VLOOKUP($A696,'8.Non-elective admissions - CCG'!$D$5:$Q$215,13,0)*$H696</f>
        <v>3387.1160540165638</v>
      </c>
      <c r="U696" s="384">
        <f>VLOOKUP($A696,'8.Non-elective admissions - CCG'!$D$5:$Q$215,14,0)*$H696</f>
        <v>4077.7307820978335</v>
      </c>
    </row>
    <row r="697" spans="1:21">
      <c r="A697" s="395" t="s">
        <v>556</v>
      </c>
      <c r="B697" s="395" t="s">
        <v>555</v>
      </c>
      <c r="C697" s="395" t="s">
        <v>717</v>
      </c>
      <c r="D697" s="395" t="s">
        <v>267</v>
      </c>
      <c r="E697" s="537">
        <f>COUNTIF($D$5:D697,D697)</f>
        <v>5</v>
      </c>
      <c r="F697" s="537" t="str">
        <f t="shared" si="20"/>
        <v>Lambeth5</v>
      </c>
      <c r="G697" s="541" t="str">
        <f t="shared" si="21"/>
        <v>NHS Southwark CCG</v>
      </c>
      <c r="H697" s="546">
        <v>1.7411201557013794E-2</v>
      </c>
      <c r="I697" s="546">
        <v>1.5187143692861815E-2</v>
      </c>
      <c r="J697" s="384">
        <f>VLOOKUP($A697,'8.Non-elective admissions - CCG'!$D$5:$N$215,3,0)*$H697</f>
        <v>105.59893744328866</v>
      </c>
      <c r="K697" s="384">
        <f>VLOOKUP($A697,'8.Non-elective admissions - CCG'!$D$5:$N$215,4,0)*$H697</f>
        <v>106.59137593203845</v>
      </c>
      <c r="L697" s="384">
        <f>VLOOKUP($A697,'8.Non-elective admissions - CCG'!$D$5:$N$215,5,0)*$H697</f>
        <v>107.07888957563483</v>
      </c>
      <c r="M697" s="384">
        <f>VLOOKUP($A697,'8.Non-elective admissions - CCG'!$D$5:$N$215,6,0)*$H697</f>
        <v>100.67156740265375</v>
      </c>
      <c r="N697" s="384">
        <f>VLOOKUP($A697,'8.Non-elective admissions - CCG'!$D$5:$N$215,7,0)*$H697</f>
        <v>100.28852096839945</v>
      </c>
      <c r="O697" s="384">
        <f>VLOOKUP($A697,'8.Non-elective admissions - CCG'!$D$5:$N$215,8,0)*$H697</f>
        <v>101.22872585247819</v>
      </c>
      <c r="P697" s="384">
        <f>VLOOKUP($A697,'8.Non-elective admissions - CCG'!$D$5:$N$215,9,0)*$H697</f>
        <v>99.19161527030758</v>
      </c>
      <c r="Q697" s="384">
        <f>VLOOKUP($A697,'8.Non-elective admissions - CCG'!$D$5:$N$215,10,0)*$H697</f>
        <v>89.214996778138683</v>
      </c>
      <c r="R697" s="384">
        <f>VLOOKUP($A697,'8.Non-elective admissions - CCG'!$D$5:$Q$215,11,0)*$H697</f>
        <v>97.763896742632454</v>
      </c>
      <c r="S697" s="384">
        <f>VLOOKUP($A697,'8.Non-elective admissions - CCG'!$D$5:$Q$215,12,0)*$H697</f>
        <v>98.704101626711193</v>
      </c>
      <c r="T697" s="384">
        <f>VLOOKUP($A697,'8.Non-elective admissions - CCG'!$D$5:$Q$215,13,0)*$H697</f>
        <v>96.701813447654615</v>
      </c>
      <c r="U697" s="384">
        <f>VLOOKUP($A697,'8.Non-elective admissions - CCG'!$D$5:$Q$215,14,0)*$H697</f>
        <v>86.986362978840916</v>
      </c>
    </row>
    <row r="698" spans="1:21">
      <c r="A698" s="395" t="s">
        <v>556</v>
      </c>
      <c r="B698" s="395" t="s">
        <v>555</v>
      </c>
      <c r="C698" s="395" t="s">
        <v>722</v>
      </c>
      <c r="D698" s="395" t="s">
        <v>282</v>
      </c>
      <c r="E698" s="537">
        <f>COUNTIF($D$5:D698,D698)</f>
        <v>6</v>
      </c>
      <c r="F698" s="537" t="str">
        <f t="shared" si="20"/>
        <v>Lewisham6</v>
      </c>
      <c r="G698" s="541" t="str">
        <f t="shared" si="21"/>
        <v>NHS Southwark CCG</v>
      </c>
      <c r="H698" s="546">
        <v>3.5348421287955491E-2</v>
      </c>
      <c r="I698" s="546">
        <v>3.5419803069584498E-2</v>
      </c>
      <c r="J698" s="384">
        <f>VLOOKUP($A698,'8.Non-elective admissions - CCG'!$D$5:$N$215,3,0)*$H698</f>
        <v>214.38817511145004</v>
      </c>
      <c r="K698" s="384">
        <f>VLOOKUP($A698,'8.Non-elective admissions - CCG'!$D$5:$N$215,4,0)*$H698</f>
        <v>216.40303512486352</v>
      </c>
      <c r="L698" s="384">
        <f>VLOOKUP($A698,'8.Non-elective admissions - CCG'!$D$5:$N$215,5,0)*$H698</f>
        <v>217.39279092092627</v>
      </c>
      <c r="M698" s="384">
        <f>VLOOKUP($A698,'8.Non-elective admissions - CCG'!$D$5:$N$215,6,0)*$H698</f>
        <v>204.38457188695864</v>
      </c>
      <c r="N698" s="384">
        <f>VLOOKUP($A698,'8.Non-elective admissions - CCG'!$D$5:$N$215,7,0)*$H698</f>
        <v>203.60690661862364</v>
      </c>
      <c r="O698" s="384">
        <f>VLOOKUP($A698,'8.Non-elective admissions - CCG'!$D$5:$N$215,8,0)*$H698</f>
        <v>205.51572136817322</v>
      </c>
      <c r="P698" s="384">
        <f>VLOOKUP($A698,'8.Non-elective admissions - CCG'!$D$5:$N$215,9,0)*$H698</f>
        <v>201.37995607748243</v>
      </c>
      <c r="Q698" s="384">
        <f>VLOOKUP($A698,'8.Non-elective admissions - CCG'!$D$5:$N$215,10,0)*$H698</f>
        <v>181.12531067948393</v>
      </c>
      <c r="R698" s="384">
        <f>VLOOKUP($A698,'8.Non-elective admissions - CCG'!$D$5:$Q$215,11,0)*$H698</f>
        <v>198.48138553187007</v>
      </c>
      <c r="S698" s="384">
        <f>VLOOKUP($A698,'8.Non-elective admissions - CCG'!$D$5:$Q$215,12,0)*$H698</f>
        <v>200.39020028141968</v>
      </c>
      <c r="T698" s="384">
        <f>VLOOKUP($A698,'8.Non-elective admissions - CCG'!$D$5:$Q$215,13,0)*$H698</f>
        <v>196.32513183330479</v>
      </c>
      <c r="U698" s="384">
        <f>VLOOKUP($A698,'8.Non-elective admissions - CCG'!$D$5:$Q$215,14,0)*$H698</f>
        <v>176.60071275462562</v>
      </c>
    </row>
    <row r="699" spans="1:21">
      <c r="A699" s="395" t="s">
        <v>556</v>
      </c>
      <c r="B699" s="395" t="s">
        <v>555</v>
      </c>
      <c r="C699" s="395" t="s">
        <v>767</v>
      </c>
      <c r="D699" s="395" t="s">
        <v>417</v>
      </c>
      <c r="E699" s="537">
        <f>COUNTIF($D$5:D699,D699)</f>
        <v>5</v>
      </c>
      <c r="F699" s="537" t="str">
        <f t="shared" si="20"/>
        <v>Southwark5</v>
      </c>
      <c r="G699" s="541" t="str">
        <f t="shared" si="21"/>
        <v>NHS Southwark CCG</v>
      </c>
      <c r="H699" s="546">
        <v>0.94724037715503062</v>
      </c>
      <c r="I699" s="546">
        <v>0.89136521273732439</v>
      </c>
      <c r="J699" s="384">
        <f>VLOOKUP($A699,'8.Non-elective admissions - CCG'!$D$5:$N$215,3,0)*$H699</f>
        <v>5745.0128874452603</v>
      </c>
      <c r="K699" s="384">
        <f>VLOOKUP($A699,'8.Non-elective admissions - CCG'!$D$5:$N$215,4,0)*$H699</f>
        <v>5799.0055889430978</v>
      </c>
      <c r="L699" s="384">
        <f>VLOOKUP($A699,'8.Non-elective admissions - CCG'!$D$5:$N$215,5,0)*$H699</f>
        <v>5825.5283195034381</v>
      </c>
      <c r="M699" s="384">
        <f>VLOOKUP($A699,'8.Non-elective admissions - CCG'!$D$5:$N$215,6,0)*$H699</f>
        <v>5476.9438607103866</v>
      </c>
      <c r="N699" s="384">
        <f>VLOOKUP($A699,'8.Non-elective admissions - CCG'!$D$5:$N$215,7,0)*$H699</f>
        <v>5456.1045724129763</v>
      </c>
      <c r="O699" s="384">
        <f>VLOOKUP($A699,'8.Non-elective admissions - CCG'!$D$5:$N$215,8,0)*$H699</f>
        <v>5507.2555527793484</v>
      </c>
      <c r="P699" s="384">
        <f>VLOOKUP($A699,'8.Non-elective admissions - CCG'!$D$5:$N$215,9,0)*$H699</f>
        <v>5396.4284286522097</v>
      </c>
      <c r="Q699" s="384">
        <f>VLOOKUP($A699,'8.Non-elective admissions - CCG'!$D$5:$N$215,10,0)*$H699</f>
        <v>4853.6596925423773</v>
      </c>
      <c r="R699" s="384">
        <f>VLOOKUP($A699,'8.Non-elective admissions - CCG'!$D$5:$Q$215,11,0)*$H699</f>
        <v>5318.7547177254974</v>
      </c>
      <c r="S699" s="384">
        <f>VLOOKUP($A699,'8.Non-elective admissions - CCG'!$D$5:$Q$215,12,0)*$H699</f>
        <v>5369.9056980918685</v>
      </c>
      <c r="T699" s="384">
        <f>VLOOKUP($A699,'8.Non-elective admissions - CCG'!$D$5:$Q$215,13,0)*$H699</f>
        <v>5260.9730547190402</v>
      </c>
      <c r="U699" s="384">
        <f>VLOOKUP($A699,'8.Non-elective admissions - CCG'!$D$5:$Q$215,14,0)*$H699</f>
        <v>4732.4129242665331</v>
      </c>
    </row>
    <row r="700" spans="1:21">
      <c r="A700" s="395" t="s">
        <v>558</v>
      </c>
      <c r="B700" s="395" t="s">
        <v>557</v>
      </c>
      <c r="C700" s="395" t="s">
        <v>716</v>
      </c>
      <c r="D700" s="395" t="s">
        <v>264</v>
      </c>
      <c r="E700" s="537">
        <f>COUNTIF($D$5:D700,D700)</f>
        <v>5</v>
      </c>
      <c r="F700" s="537" t="str">
        <f t="shared" si="20"/>
        <v>Knowsley5</v>
      </c>
      <c r="G700" s="541" t="str">
        <f t="shared" si="21"/>
        <v>NHS St Helens CCG</v>
      </c>
      <c r="H700" s="546">
        <v>2.3819817594136664E-2</v>
      </c>
      <c r="I700" s="546">
        <v>2.9126335796191175E-2</v>
      </c>
      <c r="J700" s="384">
        <f>VLOOKUP($A700,'8.Non-elective admissions - CCG'!$D$5:$N$215,3,0)*$H700</f>
        <v>147.06355382619975</v>
      </c>
      <c r="K700" s="384">
        <f>VLOOKUP($A700,'8.Non-elective admissions - CCG'!$D$5:$N$215,4,0)*$H700</f>
        <v>143.41912173429685</v>
      </c>
      <c r="L700" s="384">
        <f>VLOOKUP($A700,'8.Non-elective admissions - CCG'!$D$5:$N$215,5,0)*$H700</f>
        <v>139.79850945998808</v>
      </c>
      <c r="M700" s="384">
        <f>VLOOKUP($A700,'8.Non-elective admissions - CCG'!$D$5:$N$215,6,0)*$H700</f>
        <v>140.9895003396949</v>
      </c>
      <c r="N700" s="384">
        <f>VLOOKUP($A700,'8.Non-elective admissions - CCG'!$D$5:$N$215,7,0)*$H700</f>
        <v>133.74827579107736</v>
      </c>
      <c r="O700" s="384">
        <f>VLOOKUP($A700,'8.Non-elective admissions - CCG'!$D$5:$N$215,8,0)*$H700</f>
        <v>130.62787968624545</v>
      </c>
      <c r="P700" s="384">
        <f>VLOOKUP($A700,'8.Non-elective admissions - CCG'!$D$5:$N$215,9,0)*$H700</f>
        <v>127.72186193976079</v>
      </c>
      <c r="Q700" s="384">
        <f>VLOOKUP($A700,'8.Non-elective admissions - CCG'!$D$5:$N$215,10,0)*$H700</f>
        <v>129.10341136022072</v>
      </c>
      <c r="R700" s="384">
        <f>VLOOKUP($A700,'8.Non-elective admissions - CCG'!$D$5:$Q$215,11,0)*$H700</f>
        <v>130.41350132789825</v>
      </c>
      <c r="S700" s="384">
        <f>VLOOKUP($A700,'8.Non-elective admissions - CCG'!$D$5:$Q$215,12,0)*$H700</f>
        <v>127.50748358141357</v>
      </c>
      <c r="T700" s="384">
        <f>VLOOKUP($A700,'8.Non-elective admissions - CCG'!$D$5:$Q$215,13,0)*$H700</f>
        <v>124.67292528771129</v>
      </c>
      <c r="U700" s="384">
        <f>VLOOKUP($A700,'8.Non-elective admissions - CCG'!$D$5:$Q$215,14,0)*$H700</f>
        <v>126.03065489057708</v>
      </c>
    </row>
    <row r="701" spans="1:21">
      <c r="A701" s="395" t="s">
        <v>558</v>
      </c>
      <c r="B701" s="395" t="s">
        <v>557</v>
      </c>
      <c r="C701" s="395" t="s">
        <v>718</v>
      </c>
      <c r="D701" s="395" t="s">
        <v>270</v>
      </c>
      <c r="E701" s="537">
        <f>COUNTIF($D$5:D701,D701)</f>
        <v>15</v>
      </c>
      <c r="F701" s="537" t="str">
        <f t="shared" si="20"/>
        <v>Lancashire15</v>
      </c>
      <c r="G701" s="541" t="str">
        <f t="shared" si="21"/>
        <v>NHS St Helens CCG</v>
      </c>
      <c r="H701" s="546">
        <v>5.0336606756840232E-3</v>
      </c>
      <c r="I701" s="546">
        <v>0</v>
      </c>
      <c r="J701" s="384">
        <f>VLOOKUP($A701,'8.Non-elective admissions - CCG'!$D$5:$N$215,3,0)*$H701</f>
        <v>31.077821011673159</v>
      </c>
      <c r="K701" s="384">
        <f>VLOOKUP($A701,'8.Non-elective admissions - CCG'!$D$5:$N$215,4,0)*$H701</f>
        <v>30.307670928293504</v>
      </c>
      <c r="L701" s="384">
        <f>VLOOKUP($A701,'8.Non-elective admissions - CCG'!$D$5:$N$215,5,0)*$H701</f>
        <v>29.542554505589532</v>
      </c>
      <c r="M701" s="384">
        <f>VLOOKUP($A701,'8.Non-elective admissions - CCG'!$D$5:$N$215,6,0)*$H701</f>
        <v>29.794237539373732</v>
      </c>
      <c r="N701" s="384">
        <f>VLOOKUP($A701,'8.Non-elective admissions - CCG'!$D$5:$N$215,7,0)*$H701</f>
        <v>28.264004693965791</v>
      </c>
      <c r="O701" s="384">
        <f>VLOOKUP($A701,'8.Non-elective admissions - CCG'!$D$5:$N$215,8,0)*$H701</f>
        <v>27.604595145451182</v>
      </c>
      <c r="P701" s="384">
        <f>VLOOKUP($A701,'8.Non-elective admissions - CCG'!$D$5:$N$215,9,0)*$H701</f>
        <v>26.990488543017733</v>
      </c>
      <c r="Q701" s="384">
        <f>VLOOKUP($A701,'8.Non-elective admissions - CCG'!$D$5:$N$215,10,0)*$H701</f>
        <v>27.282440862207405</v>
      </c>
      <c r="R701" s="384">
        <f>VLOOKUP($A701,'8.Non-elective admissions - CCG'!$D$5:$Q$215,11,0)*$H701</f>
        <v>27.559292199370027</v>
      </c>
      <c r="S701" s="384">
        <f>VLOOKUP($A701,'8.Non-elective admissions - CCG'!$D$5:$Q$215,12,0)*$H701</f>
        <v>26.945185596936575</v>
      </c>
      <c r="T701" s="384">
        <f>VLOOKUP($A701,'8.Non-elective admissions - CCG'!$D$5:$Q$215,13,0)*$H701</f>
        <v>26.346179976530177</v>
      </c>
      <c r="U701" s="384">
        <f>VLOOKUP($A701,'8.Non-elective admissions - CCG'!$D$5:$Q$215,14,0)*$H701</f>
        <v>26.633098635044167</v>
      </c>
    </row>
    <row r="702" spans="1:21">
      <c r="A702" s="395" t="s">
        <v>558</v>
      </c>
      <c r="B702" s="395" t="s">
        <v>557</v>
      </c>
      <c r="C702" s="395" t="s">
        <v>768</v>
      </c>
      <c r="D702" s="395" t="s">
        <v>420</v>
      </c>
      <c r="E702" s="537">
        <f>COUNTIF($D$5:D702,D702)</f>
        <v>3</v>
      </c>
      <c r="F702" s="537" t="str">
        <f t="shared" si="20"/>
        <v>St. Helens3</v>
      </c>
      <c r="G702" s="541" t="str">
        <f t="shared" si="21"/>
        <v>NHS St Helens CCG</v>
      </c>
      <c r="H702" s="546">
        <v>0.91018158236057078</v>
      </c>
      <c r="I702" s="546">
        <v>0.9646521675094506</v>
      </c>
      <c r="J702" s="384">
        <f>VLOOKUP($A702,'8.Non-elective admissions - CCG'!$D$5:$N$215,3,0)*$H702</f>
        <v>5619.4610894941643</v>
      </c>
      <c r="K702" s="384">
        <f>VLOOKUP($A702,'8.Non-elective admissions - CCG'!$D$5:$N$215,4,0)*$H702</f>
        <v>5480.203307392997</v>
      </c>
      <c r="L702" s="384">
        <f>VLOOKUP($A702,'8.Non-elective admissions - CCG'!$D$5:$N$215,5,0)*$H702</f>
        <v>5341.8557068741902</v>
      </c>
      <c r="M702" s="384">
        <f>VLOOKUP($A702,'8.Non-elective admissions - CCG'!$D$5:$N$215,6,0)*$H702</f>
        <v>5387.3647859922185</v>
      </c>
      <c r="N702" s="384">
        <f>VLOOKUP($A702,'8.Non-elective admissions - CCG'!$D$5:$N$215,7,0)*$H702</f>
        <v>5110.6695849546049</v>
      </c>
      <c r="O702" s="384">
        <f>VLOOKUP($A702,'8.Non-elective admissions - CCG'!$D$5:$N$215,8,0)*$H702</f>
        <v>4991.43579766537</v>
      </c>
      <c r="P702" s="384">
        <f>VLOOKUP($A702,'8.Non-elective admissions - CCG'!$D$5:$N$215,9,0)*$H702</f>
        <v>4880.3936446173802</v>
      </c>
      <c r="Q702" s="384">
        <f>VLOOKUP($A702,'8.Non-elective admissions - CCG'!$D$5:$N$215,10,0)*$H702</f>
        <v>4933.1841763942939</v>
      </c>
      <c r="R702" s="384">
        <f>VLOOKUP($A702,'8.Non-elective admissions - CCG'!$D$5:$Q$215,11,0)*$H702</f>
        <v>4983.244163424125</v>
      </c>
      <c r="S702" s="384">
        <f>VLOOKUP($A702,'8.Non-elective admissions - CCG'!$D$5:$Q$215,12,0)*$H702</f>
        <v>4872.2020103761351</v>
      </c>
      <c r="T702" s="384">
        <f>VLOOKUP($A702,'8.Non-elective admissions - CCG'!$D$5:$Q$215,13,0)*$H702</f>
        <v>4763.8904020752279</v>
      </c>
      <c r="U702" s="384">
        <f>VLOOKUP($A702,'8.Non-elective admissions - CCG'!$D$5:$Q$215,14,0)*$H702</f>
        <v>4815.7707522697801</v>
      </c>
    </row>
    <row r="703" spans="1:21">
      <c r="A703" s="395" t="s">
        <v>558</v>
      </c>
      <c r="B703" s="395" t="s">
        <v>557</v>
      </c>
      <c r="C703" s="395" t="s">
        <v>788</v>
      </c>
      <c r="D703" s="395" t="s">
        <v>480</v>
      </c>
      <c r="E703" s="537">
        <f>COUNTIF($D$5:D703,D703)</f>
        <v>3</v>
      </c>
      <c r="F703" s="537" t="str">
        <f t="shared" si="20"/>
        <v>Warrington3</v>
      </c>
      <c r="G703" s="541" t="str">
        <f t="shared" si="21"/>
        <v>NHS St Helens CCG</v>
      </c>
      <c r="H703" s="546">
        <v>2.2409569102176112E-2</v>
      </c>
      <c r="I703" s="546">
        <v>2.0351500420678695E-2</v>
      </c>
      <c r="J703" s="384">
        <f>VLOOKUP($A703,'8.Non-elective admissions - CCG'!$D$5:$N$215,3,0)*$H703</f>
        <v>138.35667963683531</v>
      </c>
      <c r="K703" s="384">
        <f>VLOOKUP($A703,'8.Non-elective admissions - CCG'!$D$5:$N$215,4,0)*$H703</f>
        <v>134.92801556420238</v>
      </c>
      <c r="L703" s="384">
        <f>VLOOKUP($A703,'8.Non-elective admissions - CCG'!$D$5:$N$215,5,0)*$H703</f>
        <v>131.52176106067159</v>
      </c>
      <c r="M703" s="384">
        <f>VLOOKUP($A703,'8.Non-elective admissions - CCG'!$D$5:$N$215,6,0)*$H703</f>
        <v>132.6422395157804</v>
      </c>
      <c r="N703" s="384">
        <f>VLOOKUP($A703,'8.Non-elective admissions - CCG'!$D$5:$N$215,7,0)*$H703</f>
        <v>125.82973050871887</v>
      </c>
      <c r="O703" s="384">
        <f>VLOOKUP($A703,'8.Non-elective admissions - CCG'!$D$5:$N$215,8,0)*$H703</f>
        <v>122.89407695633381</v>
      </c>
      <c r="P703" s="384">
        <f>VLOOKUP($A703,'8.Non-elective admissions - CCG'!$D$5:$N$215,9,0)*$H703</f>
        <v>120.16010952586831</v>
      </c>
      <c r="Q703" s="384">
        <f>VLOOKUP($A703,'8.Non-elective admissions - CCG'!$D$5:$N$215,10,0)*$H703</f>
        <v>121.45986453379453</v>
      </c>
      <c r="R703" s="384">
        <f>VLOOKUP($A703,'8.Non-elective admissions - CCG'!$D$5:$Q$215,11,0)*$H703</f>
        <v>122.69239083441421</v>
      </c>
      <c r="S703" s="384">
        <f>VLOOKUP($A703,'8.Non-elective admissions - CCG'!$D$5:$Q$215,12,0)*$H703</f>
        <v>119.95842340394873</v>
      </c>
      <c r="T703" s="384">
        <f>VLOOKUP($A703,'8.Non-elective admissions - CCG'!$D$5:$Q$215,13,0)*$H703</f>
        <v>117.29168468078977</v>
      </c>
      <c r="U703" s="384">
        <f>VLOOKUP($A703,'8.Non-elective admissions - CCG'!$D$5:$Q$215,14,0)*$H703</f>
        <v>118.56903011961381</v>
      </c>
    </row>
    <row r="704" spans="1:21">
      <c r="A704" s="395" t="s">
        <v>558</v>
      </c>
      <c r="B704" s="395" t="s">
        <v>557</v>
      </c>
      <c r="C704" s="395" t="s">
        <v>793</v>
      </c>
      <c r="D704" s="395" t="s">
        <v>495</v>
      </c>
      <c r="E704" s="537">
        <f>COUNTIF($D$5:D704,D704)</f>
        <v>3</v>
      </c>
      <c r="F704" s="537" t="str">
        <f t="shared" si="20"/>
        <v>Wigan3</v>
      </c>
      <c r="G704" s="541" t="str">
        <f t="shared" si="21"/>
        <v>NHS St Helens CCG</v>
      </c>
      <c r="H704" s="546">
        <v>3.8555370267432526E-2</v>
      </c>
      <c r="I704" s="546">
        <v>2.3028469718069555E-2</v>
      </c>
      <c r="J704" s="384">
        <f>VLOOKUP($A704,'8.Non-elective admissions - CCG'!$D$5:$N$215,3,0)*$H704</f>
        <v>238.04085603112841</v>
      </c>
      <c r="K704" s="384">
        <f>VLOOKUP($A704,'8.Non-elective admissions - CCG'!$D$5:$N$215,4,0)*$H704</f>
        <v>232.14188438021125</v>
      </c>
      <c r="L704" s="384">
        <f>VLOOKUP($A704,'8.Non-elective admissions - CCG'!$D$5:$N$215,5,0)*$H704</f>
        <v>226.28146809956149</v>
      </c>
      <c r="M704" s="384">
        <f>VLOOKUP($A704,'8.Non-elective admissions - CCG'!$D$5:$N$215,6,0)*$H704</f>
        <v>228.20923661293313</v>
      </c>
      <c r="N704" s="384">
        <f>VLOOKUP($A704,'8.Non-elective admissions - CCG'!$D$5:$N$215,7,0)*$H704</f>
        <v>216.48840405163364</v>
      </c>
      <c r="O704" s="384">
        <f>VLOOKUP($A704,'8.Non-elective admissions - CCG'!$D$5:$N$215,8,0)*$H704</f>
        <v>211.43765054659997</v>
      </c>
      <c r="P704" s="384">
        <f>VLOOKUP($A704,'8.Non-elective admissions - CCG'!$D$5:$N$215,9,0)*$H704</f>
        <v>206.73389537397321</v>
      </c>
      <c r="Q704" s="384">
        <f>VLOOKUP($A704,'8.Non-elective admissions - CCG'!$D$5:$N$215,10,0)*$H704</f>
        <v>208.9701068494843</v>
      </c>
      <c r="R704" s="384">
        <f>VLOOKUP($A704,'8.Non-elective admissions - CCG'!$D$5:$Q$215,11,0)*$H704</f>
        <v>211.09065221419309</v>
      </c>
      <c r="S704" s="384">
        <f>VLOOKUP($A704,'8.Non-elective admissions - CCG'!$D$5:$Q$215,12,0)*$H704</f>
        <v>206.3868970415663</v>
      </c>
      <c r="T704" s="384">
        <f>VLOOKUP($A704,'8.Non-elective admissions - CCG'!$D$5:$Q$215,13,0)*$H704</f>
        <v>201.79880797974184</v>
      </c>
      <c r="U704" s="384">
        <f>VLOOKUP($A704,'8.Non-elective admissions - CCG'!$D$5:$Q$215,14,0)*$H704</f>
        <v>203.99646408498549</v>
      </c>
    </row>
    <row r="705" spans="1:21">
      <c r="A705" s="395" t="s">
        <v>560</v>
      </c>
      <c r="B705" s="395" t="s">
        <v>559</v>
      </c>
      <c r="C705" s="395" t="s">
        <v>769</v>
      </c>
      <c r="D705" s="395" t="s">
        <v>423</v>
      </c>
      <c r="E705" s="537">
        <f>COUNTIF($D$5:D705,D705)</f>
        <v>12</v>
      </c>
      <c r="F705" s="537" t="str">
        <f t="shared" si="20"/>
        <v>Staffordshire12</v>
      </c>
      <c r="G705" s="541" t="str">
        <f t="shared" si="21"/>
        <v>NHS Stafford and Surrounds CCG</v>
      </c>
      <c r="H705" s="546">
        <v>0.99486939011943853</v>
      </c>
      <c r="I705" s="546">
        <v>0.16588782897460191</v>
      </c>
      <c r="J705" s="384">
        <f>VLOOKUP($A705,'8.Non-elective admissions - CCG'!$D$5:$N$215,3,0)*$H705</f>
        <v>3867.0573193942578</v>
      </c>
      <c r="K705" s="384">
        <f>VLOOKUP($A705,'8.Non-elective admissions - CCG'!$D$5:$N$215,4,0)*$H705</f>
        <v>3576.5554574793814</v>
      </c>
      <c r="L705" s="384">
        <f>VLOOKUP($A705,'8.Non-elective admissions - CCG'!$D$5:$N$215,5,0)*$H705</f>
        <v>3817.3138498882859</v>
      </c>
      <c r="M705" s="384">
        <f>VLOOKUP($A705,'8.Non-elective admissions - CCG'!$D$5:$N$215,6,0)*$H705</f>
        <v>3820.298458058644</v>
      </c>
      <c r="N705" s="384">
        <f>VLOOKUP($A705,'8.Non-elective admissions - CCG'!$D$5:$N$215,7,0)*$H705</f>
        <v>3793.4369845254191</v>
      </c>
      <c r="O705" s="384">
        <f>VLOOKUP($A705,'8.Non-elective admissions - CCG'!$D$5:$N$215,8,0)*$H705</f>
        <v>3703.8987394146698</v>
      </c>
      <c r="P705" s="384">
        <f>VLOOKUP($A705,'8.Non-elective admissions - CCG'!$D$5:$N$215,9,0)*$H705</f>
        <v>3556.6580696769929</v>
      </c>
      <c r="Q705" s="384">
        <f>VLOOKUP($A705,'8.Non-elective admissions - CCG'!$D$5:$N$215,10,0)*$H705</f>
        <v>3554.668330896754</v>
      </c>
      <c r="R705" s="384">
        <f>VLOOKUP($A705,'8.Non-elective admissions - CCG'!$D$5:$Q$215,11,0)*$H705</f>
        <v>3566.6067635781869</v>
      </c>
      <c r="S705" s="384">
        <f>VLOOKUP($A705,'8.Non-elective admissions - CCG'!$D$5:$Q$215,12,0)*$H705</f>
        <v>3566.6067635781869</v>
      </c>
      <c r="T705" s="384">
        <f>VLOOKUP($A705,'8.Non-elective admissions - CCG'!$D$5:$Q$215,13,0)*$H705</f>
        <v>3566.6067635781869</v>
      </c>
      <c r="U705" s="384">
        <f>VLOOKUP($A705,'8.Non-elective admissions - CCG'!$D$5:$Q$215,14,0)*$H705</f>
        <v>3566.6067635781869</v>
      </c>
    </row>
    <row r="706" spans="1:21">
      <c r="A706" s="395" t="s">
        <v>560</v>
      </c>
      <c r="B706" s="395" t="s">
        <v>559</v>
      </c>
      <c r="C706" s="395" t="s">
        <v>772</v>
      </c>
      <c r="D706" s="395" t="s">
        <v>432</v>
      </c>
      <c r="E706" s="537">
        <f>COUNTIF($D$5:D706,D706)</f>
        <v>2</v>
      </c>
      <c r="F706" s="537" t="str">
        <f t="shared" si="20"/>
        <v>Stoke-on-Trent2</v>
      </c>
      <c r="G706" s="541" t="str">
        <f t="shared" si="21"/>
        <v>NHS Stafford and Surrounds CCG</v>
      </c>
      <c r="H706" s="546">
        <v>5.1306098805616093E-3</v>
      </c>
      <c r="I706" s="546">
        <v>2.8064034280368758E-3</v>
      </c>
      <c r="J706" s="384">
        <f>VLOOKUP($A706,'8.Non-elective admissions - CCG'!$D$5:$N$215,3,0)*$H706</f>
        <v>19.942680605742975</v>
      </c>
      <c r="K706" s="384">
        <f>VLOOKUP($A706,'8.Non-elective admissions - CCG'!$D$5:$N$215,4,0)*$H706</f>
        <v>18.444542520618985</v>
      </c>
      <c r="L706" s="384">
        <f>VLOOKUP($A706,'8.Non-elective admissions - CCG'!$D$5:$N$215,5,0)*$H706</f>
        <v>19.686150111714895</v>
      </c>
      <c r="M706" s="384">
        <f>VLOOKUP($A706,'8.Non-elective admissions - CCG'!$D$5:$N$215,6,0)*$H706</f>
        <v>19.701541941356581</v>
      </c>
      <c r="N706" s="384">
        <f>VLOOKUP($A706,'8.Non-elective admissions - CCG'!$D$5:$N$215,7,0)*$H706</f>
        <v>19.563015474581416</v>
      </c>
      <c r="O706" s="384">
        <f>VLOOKUP($A706,'8.Non-elective admissions - CCG'!$D$5:$N$215,8,0)*$H706</f>
        <v>19.10126058533087</v>
      </c>
      <c r="P706" s="384">
        <f>VLOOKUP($A706,'8.Non-elective admissions - CCG'!$D$5:$N$215,9,0)*$H706</f>
        <v>18.341930323007752</v>
      </c>
      <c r="Q706" s="384">
        <f>VLOOKUP($A706,'8.Non-elective admissions - CCG'!$D$5:$N$215,10,0)*$H706</f>
        <v>18.331669103246629</v>
      </c>
      <c r="R706" s="384">
        <f>VLOOKUP($A706,'8.Non-elective admissions - CCG'!$D$5:$Q$215,11,0)*$H706</f>
        <v>18.39323642181337</v>
      </c>
      <c r="S706" s="384">
        <f>VLOOKUP($A706,'8.Non-elective admissions - CCG'!$D$5:$Q$215,12,0)*$H706</f>
        <v>18.39323642181337</v>
      </c>
      <c r="T706" s="384">
        <f>VLOOKUP($A706,'8.Non-elective admissions - CCG'!$D$5:$Q$215,13,0)*$H706</f>
        <v>18.39323642181337</v>
      </c>
      <c r="U706" s="384">
        <f>VLOOKUP($A706,'8.Non-elective admissions - CCG'!$D$5:$Q$215,14,0)*$H706</f>
        <v>18.39323642181337</v>
      </c>
    </row>
    <row r="707" spans="1:21">
      <c r="A707" s="395" t="s">
        <v>562</v>
      </c>
      <c r="B707" s="395" t="s">
        <v>561</v>
      </c>
      <c r="C707" s="395" t="s">
        <v>673</v>
      </c>
      <c r="D707" s="395" t="s">
        <v>110</v>
      </c>
      <c r="E707" s="537">
        <f>COUNTIF($D$5:D707,D707)</f>
        <v>6</v>
      </c>
      <c r="F707" s="537" t="str">
        <f t="shared" si="20"/>
        <v>Cheshire East6</v>
      </c>
      <c r="G707" s="541" t="str">
        <f t="shared" si="21"/>
        <v>NHS Stockport CCG</v>
      </c>
      <c r="H707" s="546">
        <v>1.6356924012519709E-2</v>
      </c>
      <c r="I707" s="546">
        <v>1.2738509216050164E-2</v>
      </c>
      <c r="J707" s="384">
        <f>VLOOKUP($A707,'8.Non-elective admissions - CCG'!$D$5:$N$215,3,0)*$H707</f>
        <v>158.15509827705307</v>
      </c>
      <c r="K707" s="384">
        <f>VLOOKUP($A707,'8.Non-elective admissions - CCG'!$D$5:$N$215,4,0)*$H707</f>
        <v>156.0286981554255</v>
      </c>
      <c r="L707" s="384">
        <f>VLOOKUP($A707,'8.Non-elective admissions - CCG'!$D$5:$N$215,5,0)*$H707</f>
        <v>161.00120305523149</v>
      </c>
      <c r="M707" s="384">
        <f>VLOOKUP($A707,'8.Non-elective admissions - CCG'!$D$5:$N$215,6,0)*$H707</f>
        <v>156.22498124357574</v>
      </c>
      <c r="N707" s="384">
        <f>VLOOKUP($A707,'8.Non-elective admissions - CCG'!$D$5:$N$215,7,0)*$H707</f>
        <v>133.92241165715842</v>
      </c>
      <c r="O707" s="384">
        <f>VLOOKUP($A707,'8.Non-elective admissions - CCG'!$D$5:$N$215,8,0)*$H707</f>
        <v>136.20654001061175</v>
      </c>
      <c r="P707" s="384">
        <f>VLOOKUP($A707,'8.Non-elective admissions - CCG'!$D$5:$N$215,9,0)*$H707</f>
        <v>141.04492566338254</v>
      </c>
      <c r="Q707" s="384">
        <f>VLOOKUP($A707,'8.Non-elective admissions - CCG'!$D$5:$N$215,10,0)*$H707</f>
        <v>139.78660345720073</v>
      </c>
      <c r="R707" s="384">
        <f>VLOOKUP($A707,'8.Non-elective admissions - CCG'!$D$5:$Q$215,11,0)*$H707</f>
        <v>120.55701434847273</v>
      </c>
      <c r="S707" s="384">
        <f>VLOOKUP($A707,'8.Non-elective admissions - CCG'!$D$5:$Q$215,12,0)*$H707</f>
        <v>122.6131877015127</v>
      </c>
      <c r="T707" s="384">
        <f>VLOOKUP($A707,'8.Non-elective admissions - CCG'!$D$5:$Q$215,13,0)*$H707</f>
        <v>126.96870461248058</v>
      </c>
      <c r="U707" s="384">
        <f>VLOOKUP($A707,'8.Non-elective admissions - CCG'!$D$5:$Q$215,14,0)*$H707</f>
        <v>125.83596240578949</v>
      </c>
    </row>
    <row r="708" spans="1:21">
      <c r="A708" s="395" t="s">
        <v>562</v>
      </c>
      <c r="B708" s="395" t="s">
        <v>561</v>
      </c>
      <c r="C708" s="395" t="s">
        <v>683</v>
      </c>
      <c r="D708" s="395" t="s">
        <v>146</v>
      </c>
      <c r="E708" s="537">
        <f>COUNTIF($D$5:D708,D708)</f>
        <v>12</v>
      </c>
      <c r="F708" s="537" t="str">
        <f t="shared" si="20"/>
        <v>Derbyshire12</v>
      </c>
      <c r="G708" s="541" t="str">
        <f t="shared" si="21"/>
        <v>NHS Stockport CCG</v>
      </c>
      <c r="H708" s="546">
        <v>1.123732908518226E-3</v>
      </c>
      <c r="I708" s="546">
        <v>0</v>
      </c>
      <c r="J708" s="384">
        <f>VLOOKUP($A708,'8.Non-elective admissions - CCG'!$D$5:$N$215,3,0)*$H708</f>
        <v>10.865373492462728</v>
      </c>
      <c r="K708" s="384">
        <f>VLOOKUP($A708,'8.Non-elective admissions - CCG'!$D$5:$N$215,4,0)*$H708</f>
        <v>10.719288214355359</v>
      </c>
      <c r="L708" s="384">
        <f>VLOOKUP($A708,'8.Non-elective admissions - CCG'!$D$5:$N$215,5,0)*$H708</f>
        <v>11.060903018544899</v>
      </c>
      <c r="M708" s="384">
        <f>VLOOKUP($A708,'8.Non-elective admissions - CCG'!$D$5:$N$215,6,0)*$H708</f>
        <v>10.732773009257578</v>
      </c>
      <c r="N708" s="384">
        <f>VLOOKUP($A708,'8.Non-elective admissions - CCG'!$D$5:$N$215,7,0)*$H708</f>
        <v>9.2005698046946573</v>
      </c>
      <c r="O708" s="384">
        <f>VLOOKUP($A708,'8.Non-elective admissions - CCG'!$D$5:$N$215,8,0)*$H708</f>
        <v>9.3574911302501498</v>
      </c>
      <c r="P708" s="384">
        <f>VLOOKUP($A708,'8.Non-elective admissions - CCG'!$D$5:$N$215,9,0)*$H708</f>
        <v>9.6898918418973654</v>
      </c>
      <c r="Q708" s="384">
        <f>VLOOKUP($A708,'8.Non-elective admissions - CCG'!$D$5:$N$215,10,0)*$H708</f>
        <v>9.6034441655785496</v>
      </c>
      <c r="R708" s="384">
        <f>VLOOKUP($A708,'8.Non-elective admissions - CCG'!$D$5:$Q$215,11,0)*$H708</f>
        <v>8.2823570172723233</v>
      </c>
      <c r="S708" s="384">
        <f>VLOOKUP($A708,'8.Non-elective admissions - CCG'!$D$5:$Q$215,12,0)*$H708</f>
        <v>8.4236176638743814</v>
      </c>
      <c r="T708" s="384">
        <f>VLOOKUP($A708,'8.Non-elective admissions - CCG'!$D$5:$Q$215,13,0)*$H708</f>
        <v>8.7228449319546151</v>
      </c>
      <c r="U708" s="384">
        <f>VLOOKUP($A708,'8.Non-elective admissions - CCG'!$D$5:$Q$215,14,0)*$H708</f>
        <v>8.645024695487658</v>
      </c>
    </row>
    <row r="709" spans="1:21">
      <c r="A709" s="395" t="s">
        <v>562</v>
      </c>
      <c r="B709" s="395" t="s">
        <v>561</v>
      </c>
      <c r="C709" s="395" t="s">
        <v>726</v>
      </c>
      <c r="D709" s="395" t="s">
        <v>294</v>
      </c>
      <c r="E709" s="537">
        <f>COUNTIF($D$5:D709,D709)</f>
        <v>8</v>
      </c>
      <c r="F709" s="537" t="str">
        <f t="shared" ref="F709:F772" si="22">D709&amp;E709</f>
        <v>Manchester8</v>
      </c>
      <c r="G709" s="541" t="str">
        <f t="shared" ref="G709:G772" si="23">B709</f>
        <v>NHS Stockport CCG</v>
      </c>
      <c r="H709" s="546">
        <v>1.2126400121627561E-2</v>
      </c>
      <c r="I709" s="546">
        <v>6.6303674080124613E-3</v>
      </c>
      <c r="J709" s="384">
        <f>VLOOKUP($A709,'8.Non-elective admissions - CCG'!$D$5:$N$215,3,0)*$H709</f>
        <v>117.25016277601689</v>
      </c>
      <c r="K709" s="384">
        <f>VLOOKUP($A709,'8.Non-elective admissions - CCG'!$D$5:$N$215,4,0)*$H709</f>
        <v>115.6737307602053</v>
      </c>
      <c r="L709" s="384">
        <f>VLOOKUP($A709,'8.Non-elective admissions - CCG'!$D$5:$N$215,5,0)*$H709</f>
        <v>119.36015639718009</v>
      </c>
      <c r="M709" s="384">
        <f>VLOOKUP($A709,'8.Non-elective admissions - CCG'!$D$5:$N$215,6,0)*$H709</f>
        <v>115.81924756166484</v>
      </c>
      <c r="N709" s="384">
        <f>VLOOKUP($A709,'8.Non-elective admissions - CCG'!$D$5:$N$215,7,0)*$H709</f>
        <v>99.284972392425573</v>
      </c>
      <c r="O709" s="384">
        <f>VLOOKUP($A709,'8.Non-elective admissions - CCG'!$D$5:$N$215,8,0)*$H709</f>
        <v>100.9783381084935</v>
      </c>
      <c r="P709" s="384">
        <f>VLOOKUP($A709,'8.Non-elective admissions - CCG'!$D$5:$N$215,9,0)*$H709</f>
        <v>104.56533284682773</v>
      </c>
      <c r="Q709" s="384">
        <f>VLOOKUP($A709,'8.Non-elective admissions - CCG'!$D$5:$N$215,10,0)*$H709</f>
        <v>103.63246071619909</v>
      </c>
      <c r="R709" s="384">
        <f>VLOOKUP($A709,'8.Non-elective admissions - CCG'!$D$5:$Q$215,11,0)*$H709</f>
        <v>89.376376165800437</v>
      </c>
      <c r="S709" s="384">
        <f>VLOOKUP($A709,'8.Non-elective admissions - CCG'!$D$5:$Q$215,12,0)*$H709</f>
        <v>90.900744731632642</v>
      </c>
      <c r="T709" s="384">
        <f>VLOOKUP($A709,'8.Non-elective admissions - CCG'!$D$5:$Q$215,13,0)*$H709</f>
        <v>94.129758986298469</v>
      </c>
      <c r="U709" s="384">
        <f>VLOOKUP($A709,'8.Non-elective admissions - CCG'!$D$5:$Q$215,14,0)*$H709</f>
        <v>93.289987081600628</v>
      </c>
    </row>
    <row r="710" spans="1:21">
      <c r="A710" s="395" t="s">
        <v>562</v>
      </c>
      <c r="B710" s="395" t="s">
        <v>561</v>
      </c>
      <c r="C710" s="395" t="s">
        <v>770</v>
      </c>
      <c r="D710" s="395" t="s">
        <v>426</v>
      </c>
      <c r="E710" s="537">
        <f>COUNTIF($D$5:D710,D710)</f>
        <v>4</v>
      </c>
      <c r="F710" s="537" t="str">
        <f t="shared" si="22"/>
        <v>Stockport4</v>
      </c>
      <c r="G710" s="541" t="str">
        <f t="shared" si="23"/>
        <v>NHS Stockport CCG</v>
      </c>
      <c r="H710" s="546">
        <v>0.95504076836890173</v>
      </c>
      <c r="I710" s="546">
        <v>0.96405157889469029</v>
      </c>
      <c r="J710" s="384">
        <f>VLOOKUP($A710,'8.Non-elective admissions - CCG'!$D$5:$N$215,3,0)*$H710</f>
        <v>9234.2891893589112</v>
      </c>
      <c r="K710" s="384">
        <f>VLOOKUP($A710,'8.Non-elective admissions - CCG'!$D$5:$N$215,4,0)*$H710</f>
        <v>9110.1338894709534</v>
      </c>
      <c r="L710" s="384">
        <f>VLOOKUP($A710,'8.Non-elective admissions - CCG'!$D$5:$N$215,5,0)*$H710</f>
        <v>9400.4662830551006</v>
      </c>
      <c r="M710" s="384">
        <f>VLOOKUP($A710,'8.Non-elective admissions - CCG'!$D$5:$N$215,6,0)*$H710</f>
        <v>9121.5943786913813</v>
      </c>
      <c r="N710" s="384">
        <f>VLOOKUP($A710,'8.Non-elective admissions - CCG'!$D$5:$N$215,7,0)*$H710</f>
        <v>7819.401914013436</v>
      </c>
      <c r="O710" s="384">
        <f>VLOOKUP($A710,'8.Non-elective admissions - CCG'!$D$5:$N$215,8,0)*$H710</f>
        <v>7952.7665794031855</v>
      </c>
      <c r="P710" s="384">
        <f>VLOOKUP($A710,'8.Non-elective admissions - CCG'!$D$5:$N$215,9,0)*$H710</f>
        <v>8235.2680783372434</v>
      </c>
      <c r="Q710" s="384">
        <f>VLOOKUP($A710,'8.Non-elective admissions - CCG'!$D$5:$N$215,10,0)*$H710</f>
        <v>8161.7977237811101</v>
      </c>
      <c r="R710" s="384">
        <f>VLOOKUP($A710,'8.Non-elective admissions - CCG'!$D$5:$Q$215,11,0)*$H710</f>
        <v>7039.0290697382661</v>
      </c>
      <c r="S710" s="384">
        <f>VLOOKUP($A710,'8.Non-elective admissions - CCG'!$D$5:$Q$215,12,0)*$H710</f>
        <v>7159.0840004504153</v>
      </c>
      <c r="T710" s="384">
        <f>VLOOKUP($A710,'8.Non-elective admissions - CCG'!$D$5:$Q$215,13,0)*$H710</f>
        <v>7413.391975110605</v>
      </c>
      <c r="U710" s="384">
        <f>VLOOKUP($A710,'8.Non-elective admissions - CCG'!$D$5:$Q$215,14,0)*$H710</f>
        <v>7347.2539294356284</v>
      </c>
    </row>
    <row r="711" spans="1:21">
      <c r="A711" s="395" t="s">
        <v>562</v>
      </c>
      <c r="B711" s="395" t="s">
        <v>561</v>
      </c>
      <c r="C711" s="395" t="s">
        <v>778</v>
      </c>
      <c r="D711" s="395" t="s">
        <v>450</v>
      </c>
      <c r="E711" s="537">
        <f>COUNTIF($D$5:D711,D711)</f>
        <v>4</v>
      </c>
      <c r="F711" s="537" t="str">
        <f t="shared" si="22"/>
        <v>Tameside4</v>
      </c>
      <c r="G711" s="541" t="str">
        <f t="shared" si="23"/>
        <v>NHS Stockport CCG</v>
      </c>
      <c r="H711" s="546">
        <v>1.5352174588432823E-2</v>
      </c>
      <c r="I711" s="546">
        <v>1.9887056929643918E-2</v>
      </c>
      <c r="J711" s="384">
        <f>VLOOKUP($A711,'8.Non-elective admissions - CCG'!$D$5:$N$215,3,0)*$H711</f>
        <v>148.44017609555698</v>
      </c>
      <c r="K711" s="384">
        <f>VLOOKUP($A711,'8.Non-elective admissions - CCG'!$D$5:$N$215,4,0)*$H711</f>
        <v>146.44439339906069</v>
      </c>
      <c r="L711" s="384">
        <f>VLOOKUP($A711,'8.Non-elective admissions - CCG'!$D$5:$N$215,5,0)*$H711</f>
        <v>151.11145447394426</v>
      </c>
      <c r="M711" s="384">
        <f>VLOOKUP($A711,'8.Non-elective admissions - CCG'!$D$5:$N$215,6,0)*$H711</f>
        <v>146.62861949412189</v>
      </c>
      <c r="N711" s="384">
        <f>VLOOKUP($A711,'8.Non-elective admissions - CCG'!$D$5:$N$215,7,0)*$H711</f>
        <v>125.69601983178437</v>
      </c>
      <c r="O711" s="384">
        <f>VLOOKUP($A711,'8.Non-elective admissions - CCG'!$D$5:$N$215,8,0)*$H711</f>
        <v>127.83984205885865</v>
      </c>
      <c r="P711" s="384">
        <f>VLOOKUP($A711,'8.Non-elective admissions - CCG'!$D$5:$N$215,9,0)*$H711</f>
        <v>132.38102236945076</v>
      </c>
      <c r="Q711" s="384">
        <f>VLOOKUP($A711,'8.Non-elective admissions - CCG'!$D$5:$N$215,10,0)*$H711</f>
        <v>131.19999455621283</v>
      </c>
      <c r="R711" s="384">
        <f>VLOOKUP($A711,'8.Non-elective admissions - CCG'!$D$5:$Q$215,11,0)*$H711</f>
        <v>113.15161278008806</v>
      </c>
      <c r="S711" s="384">
        <f>VLOOKUP($A711,'8.Non-elective admissions - CCG'!$D$5:$Q$215,12,0)*$H711</f>
        <v>115.08148249616617</v>
      </c>
      <c r="T711" s="384">
        <f>VLOOKUP($A711,'8.Non-elective admissions - CCG'!$D$5:$Q$215,13,0)*$H711</f>
        <v>119.16945502626231</v>
      </c>
      <c r="U711" s="384">
        <f>VLOOKUP($A711,'8.Non-elective admissions - CCG'!$D$5:$Q$215,14,0)*$H711</f>
        <v>118.10629326629463</v>
      </c>
    </row>
    <row r="712" spans="1:21">
      <c r="A712" s="395" t="s">
        <v>564</v>
      </c>
      <c r="B712" s="395" t="s">
        <v>563</v>
      </c>
      <c r="C712" s="395" t="s">
        <v>769</v>
      </c>
      <c r="D712" s="395" t="s">
        <v>423</v>
      </c>
      <c r="E712" s="537">
        <f>COUNTIF($D$5:D712,D712)</f>
        <v>13</v>
      </c>
      <c r="F712" s="537" t="str">
        <f t="shared" si="22"/>
        <v>Staffordshire13</v>
      </c>
      <c r="G712" s="541" t="str">
        <f t="shared" si="23"/>
        <v>NHS Stoke on Trent CCG</v>
      </c>
      <c r="H712" s="546">
        <v>8.8742702488238956E-2</v>
      </c>
      <c r="I712" s="546">
        <v>2.8805112732156489E-2</v>
      </c>
      <c r="J712" s="384">
        <f>VLOOKUP($A712,'8.Non-elective admissions - CCG'!$D$5:$N$215,3,0)*$H712</f>
        <v>715.79863827013537</v>
      </c>
      <c r="K712" s="384">
        <f>VLOOKUP($A712,'8.Non-elective admissions - CCG'!$D$5:$N$215,4,0)*$H712</f>
        <v>709.05419288102928</v>
      </c>
      <c r="L712" s="384">
        <f>VLOOKUP($A712,'8.Non-elective admissions - CCG'!$D$5:$N$215,5,0)*$H712</f>
        <v>793.62598835232097</v>
      </c>
      <c r="M712" s="384">
        <f>VLOOKUP($A712,'8.Non-elective admissions - CCG'!$D$5:$N$215,6,0)*$H712</f>
        <v>788.0351980955619</v>
      </c>
      <c r="N712" s="384">
        <f>VLOOKUP($A712,'8.Non-elective admissions - CCG'!$D$5:$N$215,7,0)*$H712</f>
        <v>641.78722439494413</v>
      </c>
      <c r="O712" s="384">
        <f>VLOOKUP($A712,'8.Non-elective admissions - CCG'!$D$5:$N$215,8,0)*$H712</f>
        <v>655.89731409057413</v>
      </c>
      <c r="P712" s="384">
        <f>VLOOKUP($A712,'8.Non-elective admissions - CCG'!$D$5:$N$215,9,0)*$H712</f>
        <v>659.26953678512723</v>
      </c>
      <c r="Q712" s="384">
        <f>VLOOKUP($A712,'8.Non-elective admissions - CCG'!$D$5:$N$215,10,0)*$H712</f>
        <v>675.5981940429632</v>
      </c>
      <c r="R712" s="384">
        <f>VLOOKUP($A712,'8.Non-elective admissions - CCG'!$D$5:$Q$215,11,0)*$H712</f>
        <v>603.00666340758369</v>
      </c>
      <c r="S712" s="384">
        <f>VLOOKUP($A712,'8.Non-elective admissions - CCG'!$D$5:$Q$215,12,0)*$H712</f>
        <v>616.93926769823724</v>
      </c>
      <c r="T712" s="384">
        <f>VLOOKUP($A712,'8.Non-elective admissions - CCG'!$D$5:$Q$215,13,0)*$H712</f>
        <v>620.1340049878138</v>
      </c>
      <c r="U712" s="384">
        <f>VLOOKUP($A712,'8.Non-elective admissions - CCG'!$D$5:$Q$215,14,0)*$H712</f>
        <v>635.04277900583793</v>
      </c>
    </row>
    <row r="713" spans="1:21">
      <c r="A713" s="395" t="s">
        <v>564</v>
      </c>
      <c r="B713" s="395" t="s">
        <v>563</v>
      </c>
      <c r="C713" s="395" t="s">
        <v>772</v>
      </c>
      <c r="D713" s="395" t="s">
        <v>432</v>
      </c>
      <c r="E713" s="537">
        <f>COUNTIF($D$5:D713,D713)</f>
        <v>3</v>
      </c>
      <c r="F713" s="537" t="str">
        <f t="shared" si="22"/>
        <v>Stoke-on-Trent3</v>
      </c>
      <c r="G713" s="541" t="str">
        <f t="shared" si="23"/>
        <v>NHS Stoke on Trent CCG</v>
      </c>
      <c r="H713" s="546">
        <v>0.91125729751176088</v>
      </c>
      <c r="I713" s="546">
        <v>0.97031021319613142</v>
      </c>
      <c r="J713" s="384">
        <f>VLOOKUP($A713,'8.Non-elective admissions - CCG'!$D$5:$N$215,3,0)*$H713</f>
        <v>7350.2013617298635</v>
      </c>
      <c r="K713" s="384">
        <f>VLOOKUP($A713,'8.Non-elective admissions - CCG'!$D$5:$N$215,4,0)*$H713</f>
        <v>7280.9458071189692</v>
      </c>
      <c r="L713" s="384">
        <f>VLOOKUP($A713,'8.Non-elective admissions - CCG'!$D$5:$N$215,5,0)*$H713</f>
        <v>8149.3740116476774</v>
      </c>
      <c r="M713" s="384">
        <f>VLOOKUP($A713,'8.Non-elective admissions - CCG'!$D$5:$N$215,6,0)*$H713</f>
        <v>8091.9648019044362</v>
      </c>
      <c r="N713" s="384">
        <f>VLOOKUP($A713,'8.Non-elective admissions - CCG'!$D$5:$N$215,7,0)*$H713</f>
        <v>6590.212775605055</v>
      </c>
      <c r="O713" s="384">
        <f>VLOOKUP($A713,'8.Non-elective admissions - CCG'!$D$5:$N$215,8,0)*$H713</f>
        <v>6735.1026859094245</v>
      </c>
      <c r="P713" s="384">
        <f>VLOOKUP($A713,'8.Non-elective admissions - CCG'!$D$5:$N$215,9,0)*$H713</f>
        <v>6769.7304632148716</v>
      </c>
      <c r="Q713" s="384">
        <f>VLOOKUP($A713,'8.Non-elective admissions - CCG'!$D$5:$N$215,10,0)*$H713</f>
        <v>6937.4018059570353</v>
      </c>
      <c r="R713" s="384">
        <f>VLOOKUP($A713,'8.Non-elective admissions - CCG'!$D$5:$Q$215,11,0)*$H713</f>
        <v>6191.9933365924153</v>
      </c>
      <c r="S713" s="384">
        <f>VLOOKUP($A713,'8.Non-elective admissions - CCG'!$D$5:$Q$215,12,0)*$H713</f>
        <v>6335.0607323017621</v>
      </c>
      <c r="T713" s="384">
        <f>VLOOKUP($A713,'8.Non-elective admissions - CCG'!$D$5:$Q$215,13,0)*$H713</f>
        <v>6367.8659950121846</v>
      </c>
      <c r="U713" s="384">
        <f>VLOOKUP($A713,'8.Non-elective admissions - CCG'!$D$5:$Q$215,14,0)*$H713</f>
        <v>6520.9572209941607</v>
      </c>
    </row>
    <row r="714" spans="1:21">
      <c r="A714" s="395" t="s">
        <v>566</v>
      </c>
      <c r="B714" s="395" t="s">
        <v>565</v>
      </c>
      <c r="C714" s="395" t="s">
        <v>677</v>
      </c>
      <c r="D714" s="395" t="s">
        <v>124</v>
      </c>
      <c r="E714" s="537">
        <f>COUNTIF($D$5:D714,D714)</f>
        <v>5</v>
      </c>
      <c r="F714" s="537" t="str">
        <f t="shared" si="22"/>
        <v>County Durham5</v>
      </c>
      <c r="G714" s="541" t="str">
        <f t="shared" si="23"/>
        <v>NHS Sunderland CCG</v>
      </c>
      <c r="H714" s="546">
        <v>1.2057710551466568E-2</v>
      </c>
      <c r="I714" s="546">
        <v>6.4439644611307759E-3</v>
      </c>
      <c r="J714" s="384">
        <f>VLOOKUP($A714,'8.Non-elective admissions - CCG'!$D$5:$N$215,3,0)*$H714</f>
        <v>106.20431453731753</v>
      </c>
      <c r="K714" s="384">
        <f>VLOOKUP($A714,'8.Non-elective admissions - CCG'!$D$5:$N$215,4,0)*$H714</f>
        <v>84.705416624052646</v>
      </c>
      <c r="L714" s="384">
        <f>VLOOKUP($A714,'8.Non-elective admissions - CCG'!$D$5:$N$215,5,0)*$H714</f>
        <v>86.092053337471299</v>
      </c>
      <c r="M714" s="384">
        <f>VLOOKUP($A714,'8.Non-elective admissions - CCG'!$D$5:$N$215,6,0)*$H714</f>
        <v>94.640970118461098</v>
      </c>
      <c r="N714" s="384">
        <f>VLOOKUP($A714,'8.Non-elective admissions - CCG'!$D$5:$N$215,7,0)*$H714</f>
        <v>94.460104460189086</v>
      </c>
      <c r="O714" s="384">
        <f>VLOOKUP($A714,'8.Non-elective admissions - CCG'!$D$5:$N$215,8,0)*$H714</f>
        <v>93.326679668351233</v>
      </c>
      <c r="P714" s="384">
        <f>VLOOKUP($A714,'8.Non-elective admissions - CCG'!$D$5:$N$215,9,0)*$H714</f>
        <v>94.170719406953893</v>
      </c>
      <c r="Q714" s="384">
        <f>VLOOKUP($A714,'8.Non-elective admissions - CCG'!$D$5:$N$215,10,0)*$H714</f>
        <v>90.818675873646185</v>
      </c>
      <c r="R714" s="384">
        <f>VLOOKUP($A714,'8.Non-elective admissions - CCG'!$D$5:$Q$215,11,0)*$H714</f>
        <v>93.76075724820403</v>
      </c>
      <c r="S714" s="384">
        <f>VLOOKUP($A714,'8.Non-elective admissions - CCG'!$D$5:$Q$215,12,0)*$H714</f>
        <v>92.591159324711768</v>
      </c>
      <c r="T714" s="384">
        <f>VLOOKUP($A714,'8.Non-elective admissions - CCG'!$D$5:$Q$215,13,0)*$H714</f>
        <v>93.435199063314428</v>
      </c>
      <c r="U714" s="384">
        <f>VLOOKUP($A714,'8.Non-elective admissions - CCG'!$D$5:$Q$215,14,0)*$H714</f>
        <v>90.095213240558195</v>
      </c>
    </row>
    <row r="715" spans="1:21">
      <c r="A715" s="395" t="s">
        <v>566</v>
      </c>
      <c r="B715" s="395" t="s">
        <v>565</v>
      </c>
      <c r="C715" s="395" t="s">
        <v>764</v>
      </c>
      <c r="D715" s="395" t="s">
        <v>408</v>
      </c>
      <c r="E715" s="537">
        <f>COUNTIF($D$5:D715,D715)</f>
        <v>3</v>
      </c>
      <c r="F715" s="537" t="str">
        <f t="shared" si="22"/>
        <v>South Tyneside3</v>
      </c>
      <c r="G715" s="541" t="str">
        <f t="shared" si="23"/>
        <v>NHS Sunderland CCG</v>
      </c>
      <c r="H715" s="546">
        <v>3.4984641319259538E-3</v>
      </c>
      <c r="I715" s="546">
        <v>6.4073581273979144E-3</v>
      </c>
      <c r="J715" s="384">
        <f>VLOOKUP($A715,'8.Non-elective admissions - CCG'!$D$5:$N$215,3,0)*$H715</f>
        <v>30.814472074003803</v>
      </c>
      <c r="K715" s="384">
        <f>VLOOKUP($A715,'8.Non-elective admissions - CCG'!$D$5:$N$215,4,0)*$H715</f>
        <v>24.576710526779827</v>
      </c>
      <c r="L715" s="384">
        <f>VLOOKUP($A715,'8.Non-elective admissions - CCG'!$D$5:$N$215,5,0)*$H715</f>
        <v>24.979033901951311</v>
      </c>
      <c r="M715" s="384">
        <f>VLOOKUP($A715,'8.Non-elective admissions - CCG'!$D$5:$N$215,6,0)*$H715</f>
        <v>27.459444971486811</v>
      </c>
      <c r="N715" s="384">
        <f>VLOOKUP($A715,'8.Non-elective admissions - CCG'!$D$5:$N$215,7,0)*$H715</f>
        <v>27.406968009507921</v>
      </c>
      <c r="O715" s="384">
        <f>VLOOKUP($A715,'8.Non-elective admissions - CCG'!$D$5:$N$215,8,0)*$H715</f>
        <v>27.078112381106884</v>
      </c>
      <c r="P715" s="384">
        <f>VLOOKUP($A715,'8.Non-elective admissions - CCG'!$D$5:$N$215,9,0)*$H715</f>
        <v>27.323004870341698</v>
      </c>
      <c r="Q715" s="384">
        <f>VLOOKUP($A715,'8.Non-elective admissions - CCG'!$D$5:$N$215,10,0)*$H715</f>
        <v>26.350431841666285</v>
      </c>
      <c r="R715" s="384">
        <f>VLOOKUP($A715,'8.Non-elective admissions - CCG'!$D$5:$Q$215,11,0)*$H715</f>
        <v>27.204057089856217</v>
      </c>
      <c r="S715" s="384">
        <f>VLOOKUP($A715,'8.Non-elective admissions - CCG'!$D$5:$Q$215,12,0)*$H715</f>
        <v>26.864706069059398</v>
      </c>
      <c r="T715" s="384">
        <f>VLOOKUP($A715,'8.Non-elective admissions - CCG'!$D$5:$Q$215,13,0)*$H715</f>
        <v>27.109598558294216</v>
      </c>
      <c r="U715" s="384">
        <f>VLOOKUP($A715,'8.Non-elective admissions - CCG'!$D$5:$Q$215,14,0)*$H715</f>
        <v>26.140523993750726</v>
      </c>
    </row>
    <row r="716" spans="1:21">
      <c r="A716" s="395" t="s">
        <v>566</v>
      </c>
      <c r="B716" s="395" t="s">
        <v>565</v>
      </c>
      <c r="C716" s="395" t="s">
        <v>774</v>
      </c>
      <c r="D716" s="395" t="s">
        <v>438</v>
      </c>
      <c r="E716" s="537">
        <f>COUNTIF($D$5:D716,D716)</f>
        <v>5</v>
      </c>
      <c r="F716" s="537" t="str">
        <f t="shared" si="22"/>
        <v>Sunderland5</v>
      </c>
      <c r="G716" s="541" t="str">
        <f t="shared" si="23"/>
        <v>NHS Sunderland CCG</v>
      </c>
      <c r="H716" s="546">
        <v>0.98444382531660757</v>
      </c>
      <c r="I716" s="546">
        <v>0.96312653323166408</v>
      </c>
      <c r="J716" s="384">
        <f>VLOOKUP($A716,'8.Non-elective admissions - CCG'!$D$5:$N$215,3,0)*$H716</f>
        <v>8670.981213388679</v>
      </c>
      <c r="K716" s="384">
        <f>VLOOKUP($A716,'8.Non-elective admissions - CCG'!$D$5:$N$215,4,0)*$H716</f>
        <v>6915.7178728491681</v>
      </c>
      <c r="L716" s="384">
        <f>VLOOKUP($A716,'8.Non-elective admissions - CCG'!$D$5:$N$215,5,0)*$H716</f>
        <v>7028.928912760578</v>
      </c>
      <c r="M716" s="384">
        <f>VLOOKUP($A716,'8.Non-elective admissions - CCG'!$D$5:$N$215,6,0)*$H716</f>
        <v>7726.8995849100529</v>
      </c>
      <c r="N716" s="384">
        <f>VLOOKUP($A716,'8.Non-elective admissions - CCG'!$D$5:$N$215,7,0)*$H716</f>
        <v>7712.1329275303033</v>
      </c>
      <c r="O716" s="384">
        <f>VLOOKUP($A716,'8.Non-elective admissions - CCG'!$D$5:$N$215,8,0)*$H716</f>
        <v>7619.5952079505423</v>
      </c>
      <c r="P716" s="384">
        <f>VLOOKUP($A716,'8.Non-elective admissions - CCG'!$D$5:$N$215,9,0)*$H716</f>
        <v>7688.5062757227051</v>
      </c>
      <c r="Q716" s="384">
        <f>VLOOKUP($A716,'8.Non-elective admissions - CCG'!$D$5:$N$215,10,0)*$H716</f>
        <v>7414.8308922846882</v>
      </c>
      <c r="R716" s="384">
        <f>VLOOKUP($A716,'8.Non-elective admissions - CCG'!$D$5:$Q$215,11,0)*$H716</f>
        <v>7655.0351856619409</v>
      </c>
      <c r="S716" s="384">
        <f>VLOOKUP($A716,'8.Non-elective admissions - CCG'!$D$5:$Q$215,12,0)*$H716</f>
        <v>7559.5441346062298</v>
      </c>
      <c r="T716" s="384">
        <f>VLOOKUP($A716,'8.Non-elective admissions - CCG'!$D$5:$Q$215,13,0)*$H716</f>
        <v>7628.4552023783917</v>
      </c>
      <c r="U716" s="384">
        <f>VLOOKUP($A716,'8.Non-elective admissions - CCG'!$D$5:$Q$215,14,0)*$H716</f>
        <v>7355.7642627656915</v>
      </c>
    </row>
    <row r="717" spans="1:21">
      <c r="A717" s="395" t="s">
        <v>568</v>
      </c>
      <c r="B717" s="395" t="s">
        <v>567</v>
      </c>
      <c r="C717" s="395" t="s">
        <v>714</v>
      </c>
      <c r="D717" s="395" t="s">
        <v>258</v>
      </c>
      <c r="E717" s="537">
        <f>COUNTIF($D$5:D717,D717)</f>
        <v>4</v>
      </c>
      <c r="F717" s="537" t="str">
        <f t="shared" si="22"/>
        <v>Kingston upon Thames4</v>
      </c>
      <c r="G717" s="541" t="str">
        <f t="shared" si="23"/>
        <v>NHS Surrey Downs CCG</v>
      </c>
      <c r="H717" s="546">
        <v>9.2394143570921471E-3</v>
      </c>
      <c r="I717" s="546">
        <v>1.5536047120566257E-2</v>
      </c>
      <c r="J717" s="384">
        <f>VLOOKUP($A717,'8.Non-elective admissions - CCG'!$D$5:$N$215,3,0)*$H717</f>
        <v>50.049907572368163</v>
      </c>
      <c r="K717" s="384">
        <f>VLOOKUP($A717,'8.Non-elective admissions - CCG'!$D$5:$N$215,4,0)*$H717</f>
        <v>50.511878290222768</v>
      </c>
      <c r="L717" s="384">
        <f>VLOOKUP($A717,'8.Non-elective admissions - CCG'!$D$5:$N$215,5,0)*$H717</f>
        <v>55.612035015337632</v>
      </c>
      <c r="M717" s="384">
        <f>VLOOKUP($A717,'8.Non-elective admissions - CCG'!$D$5:$N$215,6,0)*$H717</f>
        <v>57.847973289753931</v>
      </c>
      <c r="N717" s="384">
        <f>VLOOKUP($A717,'8.Non-elective admissions - CCG'!$D$5:$N$215,7,0)*$H717</f>
        <v>53.496209127563532</v>
      </c>
      <c r="O717" s="384">
        <f>VLOOKUP($A717,'8.Non-elective admissions - CCG'!$D$5:$N$215,8,0)*$H717</f>
        <v>51.546692698217086</v>
      </c>
      <c r="P717" s="384">
        <f>VLOOKUP($A717,'8.Non-elective admissions - CCG'!$D$5:$N$215,9,0)*$H717</f>
        <v>53.801109801347572</v>
      </c>
      <c r="Q717" s="384">
        <f>VLOOKUP($A717,'8.Non-elective admissions - CCG'!$D$5:$N$215,10,0)*$H717</f>
        <v>52.19345170321354</v>
      </c>
      <c r="R717" s="384">
        <f>VLOOKUP($A717,'8.Non-elective admissions - CCG'!$D$5:$Q$215,11,0)*$H717</f>
        <v>47.795490469237677</v>
      </c>
      <c r="S717" s="384">
        <f>VLOOKUP($A717,'8.Non-elective admissions - CCG'!$D$5:$Q$215,12,0)*$H717</f>
        <v>50.151541130296174</v>
      </c>
      <c r="T717" s="384">
        <f>VLOOKUP($A717,'8.Non-elective admissions - CCG'!$D$5:$Q$215,13,0)*$H717</f>
        <v>52.479873548283393</v>
      </c>
      <c r="U717" s="384">
        <f>VLOOKUP($A717,'8.Non-elective admissions - CCG'!$D$5:$Q$215,14,0)*$H717</f>
        <v>51.574410941288363</v>
      </c>
    </row>
    <row r="718" spans="1:21">
      <c r="A718" s="395" t="s">
        <v>568</v>
      </c>
      <c r="B718" s="395" t="s">
        <v>567</v>
      </c>
      <c r="C718" s="395" t="s">
        <v>751</v>
      </c>
      <c r="D718" s="395" t="s">
        <v>369</v>
      </c>
      <c r="E718" s="537">
        <f>COUNTIF($D$5:D718,D718)</f>
        <v>5</v>
      </c>
      <c r="F718" s="537" t="str">
        <f t="shared" si="22"/>
        <v>Richmond upon Thames5</v>
      </c>
      <c r="G718" s="541" t="str">
        <f t="shared" si="23"/>
        <v>NHS Surrey Downs CCG</v>
      </c>
      <c r="H718" s="546">
        <v>0</v>
      </c>
      <c r="I718" s="546">
        <v>9.9927195900129931E-4</v>
      </c>
      <c r="J718" s="384">
        <f>VLOOKUP($A718,'8.Non-elective admissions - CCG'!$D$5:$N$215,3,0)*$H718</f>
        <v>0</v>
      </c>
      <c r="K718" s="384">
        <f>VLOOKUP($A718,'8.Non-elective admissions - CCG'!$D$5:$N$215,4,0)*$H718</f>
        <v>0</v>
      </c>
      <c r="L718" s="384">
        <f>VLOOKUP($A718,'8.Non-elective admissions - CCG'!$D$5:$N$215,5,0)*$H718</f>
        <v>0</v>
      </c>
      <c r="M718" s="384">
        <f>VLOOKUP($A718,'8.Non-elective admissions - CCG'!$D$5:$N$215,6,0)*$H718</f>
        <v>0</v>
      </c>
      <c r="N718" s="384">
        <f>VLOOKUP($A718,'8.Non-elective admissions - CCG'!$D$5:$N$215,7,0)*$H718</f>
        <v>0</v>
      </c>
      <c r="O718" s="384">
        <f>VLOOKUP($A718,'8.Non-elective admissions - CCG'!$D$5:$N$215,8,0)*$H718</f>
        <v>0</v>
      </c>
      <c r="P718" s="384">
        <f>VLOOKUP($A718,'8.Non-elective admissions - CCG'!$D$5:$N$215,9,0)*$H718</f>
        <v>0</v>
      </c>
      <c r="Q718" s="384">
        <f>VLOOKUP($A718,'8.Non-elective admissions - CCG'!$D$5:$N$215,10,0)*$H718</f>
        <v>0</v>
      </c>
      <c r="R718" s="384">
        <f>VLOOKUP($A718,'8.Non-elective admissions - CCG'!$D$5:$Q$215,11,0)*$H718</f>
        <v>0</v>
      </c>
      <c r="S718" s="384">
        <f>VLOOKUP($A718,'8.Non-elective admissions - CCG'!$D$5:$Q$215,12,0)*$H718</f>
        <v>0</v>
      </c>
      <c r="T718" s="384">
        <f>VLOOKUP($A718,'8.Non-elective admissions - CCG'!$D$5:$Q$215,13,0)*$H718</f>
        <v>0</v>
      </c>
      <c r="U718" s="384">
        <f>VLOOKUP($A718,'8.Non-elective admissions - CCG'!$D$5:$Q$215,14,0)*$H718</f>
        <v>0</v>
      </c>
    </row>
    <row r="719" spans="1:21">
      <c r="A719" s="395" t="s">
        <v>568</v>
      </c>
      <c r="B719" s="395" t="s">
        <v>567</v>
      </c>
      <c r="C719" s="395" t="s">
        <v>775</v>
      </c>
      <c r="D719" s="395" t="s">
        <v>441</v>
      </c>
      <c r="E719" s="537">
        <f>COUNTIF($D$5:D719,D719)</f>
        <v>17</v>
      </c>
      <c r="F719" s="537" t="str">
        <f t="shared" si="22"/>
        <v>Surrey17</v>
      </c>
      <c r="G719" s="541" t="str">
        <f t="shared" si="23"/>
        <v>NHS Surrey Downs CCG</v>
      </c>
      <c r="H719" s="546">
        <v>0.97165887506195336</v>
      </c>
      <c r="I719" s="546">
        <v>0.23926459795327668</v>
      </c>
      <c r="J719" s="384">
        <f>VLOOKUP($A719,'8.Non-elective admissions - CCG'!$D$5:$N$215,3,0)*$H719</f>
        <v>5263.4761262106013</v>
      </c>
      <c r="K719" s="384">
        <f>VLOOKUP($A719,'8.Non-elective admissions - CCG'!$D$5:$N$215,4,0)*$H719</f>
        <v>5312.0590699636987</v>
      </c>
      <c r="L719" s="384">
        <f>VLOOKUP($A719,'8.Non-elective admissions - CCG'!$D$5:$N$215,5,0)*$H719</f>
        <v>5848.4147689978972</v>
      </c>
      <c r="M719" s="384">
        <f>VLOOKUP($A719,'8.Non-elective admissions - CCG'!$D$5:$N$215,6,0)*$H719</f>
        <v>6083.5562167628896</v>
      </c>
      <c r="N719" s="384">
        <f>VLOOKUP($A719,'8.Non-elective admissions - CCG'!$D$5:$N$215,7,0)*$H719</f>
        <v>5625.9048866087096</v>
      </c>
      <c r="O719" s="384">
        <f>VLOOKUP($A719,'8.Non-elective admissions - CCG'!$D$5:$N$215,8,0)*$H719</f>
        <v>5420.8848639706375</v>
      </c>
      <c r="P719" s="384">
        <f>VLOOKUP($A719,'8.Non-elective admissions - CCG'!$D$5:$N$215,9,0)*$H719</f>
        <v>5657.969629485754</v>
      </c>
      <c r="Q719" s="384">
        <f>VLOOKUP($A719,'8.Non-elective admissions - CCG'!$D$5:$N$215,10,0)*$H719</f>
        <v>5488.9009852249746</v>
      </c>
      <c r="R719" s="384">
        <f>VLOOKUP($A719,'8.Non-elective admissions - CCG'!$D$5:$Q$215,11,0)*$H719</f>
        <v>5026.3913606954848</v>
      </c>
      <c r="S719" s="384">
        <f>VLOOKUP($A719,'8.Non-elective admissions - CCG'!$D$5:$Q$215,12,0)*$H719</f>
        <v>5274.1643738362827</v>
      </c>
      <c r="T719" s="384">
        <f>VLOOKUP($A719,'8.Non-elective admissions - CCG'!$D$5:$Q$215,13,0)*$H719</f>
        <v>5519.0224103518949</v>
      </c>
      <c r="U719" s="384">
        <f>VLOOKUP($A719,'8.Non-elective admissions - CCG'!$D$5:$Q$215,14,0)*$H719</f>
        <v>5423.7998405958233</v>
      </c>
    </row>
    <row r="720" spans="1:21">
      <c r="A720" s="395" t="s">
        <v>568</v>
      </c>
      <c r="B720" s="395" t="s">
        <v>567</v>
      </c>
      <c r="C720" s="395" t="s">
        <v>776</v>
      </c>
      <c r="D720" s="395" t="s">
        <v>444</v>
      </c>
      <c r="E720" s="537">
        <f>COUNTIF($D$5:D720,D720)</f>
        <v>5</v>
      </c>
      <c r="F720" s="537" t="str">
        <f t="shared" si="22"/>
        <v>Sutton5</v>
      </c>
      <c r="G720" s="541" t="str">
        <f t="shared" si="23"/>
        <v>NHS Surrey Downs CCG</v>
      </c>
      <c r="H720" s="546">
        <v>1.3957911939238879E-2</v>
      </c>
      <c r="I720" s="546">
        <v>2.0326154806491883E-2</v>
      </c>
      <c r="J720" s="384">
        <f>VLOOKUP($A720,'8.Non-elective admissions - CCG'!$D$5:$N$215,3,0)*$H720</f>
        <v>75.61000897485701</v>
      </c>
      <c r="K720" s="384">
        <f>VLOOKUP($A720,'8.Non-elective admissions - CCG'!$D$5:$N$215,4,0)*$H720</f>
        <v>76.307904571818952</v>
      </c>
      <c r="L720" s="384">
        <f>VLOOKUP($A720,'8.Non-elective admissions - CCG'!$D$5:$N$215,5,0)*$H720</f>
        <v>84.012671962278816</v>
      </c>
      <c r="M720" s="384">
        <f>VLOOKUP($A720,'8.Non-elective admissions - CCG'!$D$5:$N$215,6,0)*$H720</f>
        <v>87.390486651574619</v>
      </c>
      <c r="N720" s="384">
        <f>VLOOKUP($A720,'8.Non-elective admissions - CCG'!$D$5:$N$215,7,0)*$H720</f>
        <v>80.816310128193109</v>
      </c>
      <c r="O720" s="384">
        <f>VLOOKUP($A720,'8.Non-elective admissions - CCG'!$D$5:$N$215,8,0)*$H720</f>
        <v>77.871190709013703</v>
      </c>
      <c r="P720" s="384">
        <f>VLOOKUP($A720,'8.Non-elective admissions - CCG'!$D$5:$N$215,9,0)*$H720</f>
        <v>81.276921222187994</v>
      </c>
      <c r="Q720" s="384">
        <f>VLOOKUP($A720,'8.Non-elective admissions - CCG'!$D$5:$N$215,10,0)*$H720</f>
        <v>78.848244544760433</v>
      </c>
      <c r="R720" s="384">
        <f>VLOOKUP($A720,'8.Non-elective admissions - CCG'!$D$5:$Q$215,11,0)*$H720</f>
        <v>72.204278461682719</v>
      </c>
      <c r="S720" s="384">
        <f>VLOOKUP($A720,'8.Non-elective admissions - CCG'!$D$5:$Q$215,12,0)*$H720</f>
        <v>75.763546006188633</v>
      </c>
      <c r="T720" s="384">
        <f>VLOOKUP($A720,'8.Non-elective admissions - CCG'!$D$5:$Q$215,13,0)*$H720</f>
        <v>79.280939814876831</v>
      </c>
      <c r="U720" s="384">
        <f>VLOOKUP($A720,'8.Non-elective admissions - CCG'!$D$5:$Q$215,14,0)*$H720</f>
        <v>77.91306444483142</v>
      </c>
    </row>
    <row r="721" spans="1:21">
      <c r="A721" s="395" t="s">
        <v>568</v>
      </c>
      <c r="B721" s="395" t="s">
        <v>567</v>
      </c>
      <c r="C721" s="395" t="s">
        <v>791</v>
      </c>
      <c r="D721" s="395" t="s">
        <v>489</v>
      </c>
      <c r="E721" s="537">
        <f>COUNTIF($D$5:D721,D721)</f>
        <v>9</v>
      </c>
      <c r="F721" s="537" t="str">
        <f t="shared" si="22"/>
        <v>West Sussex9</v>
      </c>
      <c r="G721" s="541" t="str">
        <f t="shared" si="23"/>
        <v>NHS Surrey Downs CCG</v>
      </c>
      <c r="H721" s="546">
        <v>5.1437986417156717E-3</v>
      </c>
      <c r="I721" s="546">
        <v>1.7940215632982429E-3</v>
      </c>
      <c r="J721" s="384">
        <f>VLOOKUP($A721,'8.Non-elective admissions - CCG'!$D$5:$N$215,3,0)*$H721</f>
        <v>27.863957242173793</v>
      </c>
      <c r="K721" s="384">
        <f>VLOOKUP($A721,'8.Non-elective admissions - CCG'!$D$5:$N$215,4,0)*$H721</f>
        <v>28.121147174259576</v>
      </c>
      <c r="L721" s="384">
        <f>VLOOKUP($A721,'8.Non-elective admissions - CCG'!$D$5:$N$215,5,0)*$H721</f>
        <v>30.960524024486627</v>
      </c>
      <c r="M721" s="384">
        <f>VLOOKUP($A721,'8.Non-elective admissions - CCG'!$D$5:$N$215,6,0)*$H721</f>
        <v>32.205323295781824</v>
      </c>
      <c r="N721" s="384">
        <f>VLOOKUP($A721,'8.Non-elective admissions - CCG'!$D$5:$N$215,7,0)*$H721</f>
        <v>29.782594135533738</v>
      </c>
      <c r="O721" s="384">
        <f>VLOOKUP($A721,'8.Non-elective admissions - CCG'!$D$5:$N$215,8,0)*$H721</f>
        <v>28.697252622131732</v>
      </c>
      <c r="P721" s="384">
        <f>VLOOKUP($A721,'8.Non-elective admissions - CCG'!$D$5:$N$215,9,0)*$H721</f>
        <v>29.952339490710358</v>
      </c>
      <c r="Q721" s="384">
        <f>VLOOKUP($A721,'8.Non-elective admissions - CCG'!$D$5:$N$215,10,0)*$H721</f>
        <v>29.05731852705183</v>
      </c>
      <c r="R721" s="384">
        <f>VLOOKUP($A721,'8.Non-elective admissions - CCG'!$D$5:$Q$215,11,0)*$H721</f>
        <v>26.60887037359517</v>
      </c>
      <c r="S721" s="384">
        <f>VLOOKUP($A721,'8.Non-elective admissions - CCG'!$D$5:$Q$215,12,0)*$H721</f>
        <v>27.920539027232667</v>
      </c>
      <c r="T721" s="384">
        <f>VLOOKUP($A721,'8.Non-elective admissions - CCG'!$D$5:$Q$215,13,0)*$H721</f>
        <v>29.216776284945016</v>
      </c>
      <c r="U721" s="384">
        <f>VLOOKUP($A721,'8.Non-elective admissions - CCG'!$D$5:$Q$215,14,0)*$H721</f>
        <v>28.71268401805688</v>
      </c>
    </row>
    <row r="722" spans="1:21">
      <c r="A722" s="395" t="s">
        <v>570</v>
      </c>
      <c r="B722" s="395" t="s">
        <v>569</v>
      </c>
      <c r="C722" s="395" t="s">
        <v>661</v>
      </c>
      <c r="D722" s="395" t="s">
        <v>64</v>
      </c>
      <c r="E722" s="537">
        <f>COUNTIF($D$5:D722,D722)</f>
        <v>3</v>
      </c>
      <c r="F722" s="537" t="str">
        <f t="shared" si="22"/>
        <v>Bracknell Forest3</v>
      </c>
      <c r="G722" s="541" t="str">
        <f t="shared" si="23"/>
        <v>NHS Surrey Heath CCG</v>
      </c>
      <c r="H722" s="546">
        <v>1.2230053747867788E-3</v>
      </c>
      <c r="I722" s="546">
        <v>9.5462196132943674E-4</v>
      </c>
      <c r="J722" s="384">
        <f>VLOOKUP($A722,'8.Non-elective admissions - CCG'!$D$5:$N$215,3,0)*$H722</f>
        <v>2.2698979756042612</v>
      </c>
      <c r="K722" s="384">
        <f>VLOOKUP($A722,'8.Non-elective admissions - CCG'!$D$5:$N$215,4,0)*$H722</f>
        <v>2.2955810884747838</v>
      </c>
      <c r="L722" s="384">
        <f>VLOOKUP($A722,'8.Non-elective admissions - CCG'!$D$5:$N$215,5,0)*$H722</f>
        <v>2.4655788355701458</v>
      </c>
      <c r="M722" s="384">
        <f>VLOOKUP($A722,'8.Non-elective admissions - CCG'!$D$5:$N$215,6,0)*$H722</f>
        <v>2.3616233787132699</v>
      </c>
      <c r="N722" s="384">
        <f>VLOOKUP($A722,'8.Non-elective admissions - CCG'!$D$5:$N$215,7,0)*$H722</f>
        <v>2.3016961153487174</v>
      </c>
      <c r="O722" s="384">
        <f>VLOOKUP($A722,'8.Non-elective admissions - CCG'!$D$5:$N$215,8,0)*$H722</f>
        <v>2.2833510347269161</v>
      </c>
      <c r="P722" s="384">
        <f>VLOOKUP($A722,'8.Non-elective admissions - CCG'!$D$5:$N$215,9,0)*$H722</f>
        <v>2.3824144700846448</v>
      </c>
      <c r="Q722" s="384">
        <f>VLOOKUP($A722,'8.Non-elective admissions - CCG'!$D$5:$N$215,10,0)*$H722</f>
        <v>2.2625599433555408</v>
      </c>
      <c r="R722" s="384">
        <f>VLOOKUP($A722,'8.Non-elective admissions - CCG'!$D$5:$Q$215,11,0)*$H722</f>
        <v>2.1720575456213189</v>
      </c>
      <c r="S722" s="384">
        <f>VLOOKUP($A722,'8.Non-elective admissions - CCG'!$D$5:$Q$215,12,0)*$H722</f>
        <v>2.1561584757490908</v>
      </c>
      <c r="T722" s="384">
        <f>VLOOKUP($A722,'8.Non-elective admissions - CCG'!$D$5:$Q$215,13,0)*$H722</f>
        <v>2.2552219111068199</v>
      </c>
      <c r="U722" s="384">
        <f>VLOOKUP($A722,'8.Non-elective admissions - CCG'!$D$5:$Q$215,14,0)*$H722</f>
        <v>2.1671655241221721</v>
      </c>
    </row>
    <row r="723" spans="1:21">
      <c r="A723" s="395" t="s">
        <v>570</v>
      </c>
      <c r="B723" s="395" t="s">
        <v>569</v>
      </c>
      <c r="C723" s="395" t="s">
        <v>699</v>
      </c>
      <c r="D723" s="395" t="s">
        <v>205</v>
      </c>
      <c r="E723" s="537">
        <f>COUNTIF($D$5:D723,D723)</f>
        <v>13</v>
      </c>
      <c r="F723" s="537" t="str">
        <f t="shared" si="22"/>
        <v>Hampshire13</v>
      </c>
      <c r="G723" s="541" t="str">
        <f t="shared" si="23"/>
        <v>NHS Surrey Heath CCG</v>
      </c>
      <c r="H723" s="546">
        <v>6.6085202707776803E-3</v>
      </c>
      <c r="I723" s="546">
        <v>0</v>
      </c>
      <c r="J723" s="384">
        <f>VLOOKUP($A723,'8.Non-elective admissions - CCG'!$D$5:$N$215,3,0)*$H723</f>
        <v>12.265413622563374</v>
      </c>
      <c r="K723" s="384">
        <f>VLOOKUP($A723,'8.Non-elective admissions - CCG'!$D$5:$N$215,4,0)*$H723</f>
        <v>12.404192548249705</v>
      </c>
      <c r="L723" s="384">
        <f>VLOOKUP($A723,'8.Non-elective admissions - CCG'!$D$5:$N$215,5,0)*$H723</f>
        <v>13.322776865887803</v>
      </c>
      <c r="M723" s="384">
        <f>VLOOKUP($A723,'8.Non-elective admissions - CCG'!$D$5:$N$215,6,0)*$H723</f>
        <v>12.7610526428717</v>
      </c>
      <c r="N723" s="384">
        <f>VLOOKUP($A723,'8.Non-elective admissions - CCG'!$D$5:$N$215,7,0)*$H723</f>
        <v>12.437235149603595</v>
      </c>
      <c r="O723" s="384">
        <f>VLOOKUP($A723,'8.Non-elective admissions - CCG'!$D$5:$N$215,8,0)*$H723</f>
        <v>12.338107345541928</v>
      </c>
      <c r="P723" s="384">
        <f>VLOOKUP($A723,'8.Non-elective admissions - CCG'!$D$5:$N$215,9,0)*$H723</f>
        <v>12.873397487474922</v>
      </c>
      <c r="Q723" s="384">
        <f>VLOOKUP($A723,'8.Non-elective admissions - CCG'!$D$5:$N$215,10,0)*$H723</f>
        <v>12.225762500938709</v>
      </c>
      <c r="R723" s="384">
        <f>VLOOKUP($A723,'8.Non-elective admissions - CCG'!$D$5:$Q$215,11,0)*$H723</f>
        <v>11.73673200090116</v>
      </c>
      <c r="S723" s="384">
        <f>VLOOKUP($A723,'8.Non-elective admissions - CCG'!$D$5:$Q$215,12,0)*$H723</f>
        <v>11.65082123738105</v>
      </c>
      <c r="T723" s="384">
        <f>VLOOKUP($A723,'8.Non-elective admissions - CCG'!$D$5:$Q$215,13,0)*$H723</f>
        <v>12.186111379314042</v>
      </c>
      <c r="U723" s="384">
        <f>VLOOKUP($A723,'8.Non-elective admissions - CCG'!$D$5:$Q$215,14,0)*$H723</f>
        <v>11.71029791981805</v>
      </c>
    </row>
    <row r="724" spans="1:21">
      <c r="A724" s="395" t="s">
        <v>570</v>
      </c>
      <c r="B724" s="395" t="s">
        <v>569</v>
      </c>
      <c r="C724" s="395" t="s">
        <v>775</v>
      </c>
      <c r="D724" s="395" t="s">
        <v>441</v>
      </c>
      <c r="E724" s="537">
        <f>COUNTIF($D$5:D724,D724)</f>
        <v>18</v>
      </c>
      <c r="F724" s="537" t="str">
        <f t="shared" si="22"/>
        <v>Surrey18</v>
      </c>
      <c r="G724" s="541" t="str">
        <f t="shared" si="23"/>
        <v>NHS Surrey Heath CCG</v>
      </c>
      <c r="H724" s="546">
        <v>0.99216847435443556</v>
      </c>
      <c r="I724" s="546">
        <v>7.6263946498222934E-2</v>
      </c>
      <c r="J724" s="384">
        <f>VLOOKUP($A724,'8.Non-elective admissions - CCG'!$D$5:$N$215,3,0)*$H724</f>
        <v>1841.4646884018323</v>
      </c>
      <c r="K724" s="384">
        <f>VLOOKUP($A724,'8.Non-elective admissions - CCG'!$D$5:$N$215,4,0)*$H724</f>
        <v>1862.3002263632754</v>
      </c>
      <c r="L724" s="384">
        <f>VLOOKUP($A724,'8.Non-elective admissions - CCG'!$D$5:$N$215,5,0)*$H724</f>
        <v>2000.2116442985421</v>
      </c>
      <c r="M724" s="384">
        <f>VLOOKUP($A724,'8.Non-elective admissions - CCG'!$D$5:$N$215,6,0)*$H724</f>
        <v>1915.877323978415</v>
      </c>
      <c r="N724" s="384">
        <f>VLOOKUP($A724,'8.Non-elective admissions - CCG'!$D$5:$N$215,7,0)*$H724</f>
        <v>1867.2610687350477</v>
      </c>
      <c r="O724" s="384">
        <f>VLOOKUP($A724,'8.Non-elective admissions - CCG'!$D$5:$N$215,8,0)*$H724</f>
        <v>1852.3785416197311</v>
      </c>
      <c r="P724" s="384">
        <f>VLOOKUP($A724,'8.Non-elective admissions - CCG'!$D$5:$N$215,9,0)*$H724</f>
        <v>1932.7441880424406</v>
      </c>
      <c r="Q724" s="384">
        <f>VLOOKUP($A724,'8.Non-elective admissions - CCG'!$D$5:$N$215,10,0)*$H724</f>
        <v>1835.5116775557058</v>
      </c>
      <c r="R724" s="384">
        <f>VLOOKUP($A724,'8.Non-elective admissions - CCG'!$D$5:$Q$215,11,0)*$H724</f>
        <v>1762.0912104534775</v>
      </c>
      <c r="S724" s="384">
        <f>VLOOKUP($A724,'8.Non-elective admissions - CCG'!$D$5:$Q$215,12,0)*$H724</f>
        <v>1749.1930202868698</v>
      </c>
      <c r="T724" s="384">
        <f>VLOOKUP($A724,'8.Non-elective admissions - CCG'!$D$5:$Q$215,13,0)*$H724</f>
        <v>1829.5586667095793</v>
      </c>
      <c r="U724" s="384">
        <f>VLOOKUP($A724,'8.Non-elective admissions - CCG'!$D$5:$Q$215,14,0)*$H724</f>
        <v>1758.1225365560599</v>
      </c>
    </row>
    <row r="725" spans="1:21">
      <c r="A725" s="395" t="s">
        <v>572</v>
      </c>
      <c r="B725" s="395" t="s">
        <v>571</v>
      </c>
      <c r="C725" s="395" t="s">
        <v>679</v>
      </c>
      <c r="D725" s="395" t="s">
        <v>132</v>
      </c>
      <c r="E725" s="537">
        <f>COUNTIF($D$5:D725,D725)</f>
        <v>6</v>
      </c>
      <c r="F725" s="537" t="str">
        <f t="shared" si="22"/>
        <v>Croydon6</v>
      </c>
      <c r="G725" s="541" t="str">
        <f t="shared" si="23"/>
        <v>NHS Sutton CCG</v>
      </c>
      <c r="H725" s="546">
        <v>7.5977271024837067E-3</v>
      </c>
      <c r="I725" s="546">
        <v>3.5806955122790114E-3</v>
      </c>
      <c r="J725" s="384">
        <f>VLOOKUP($A725,'8.Non-elective admissions - CCG'!$D$5:$N$215,3,0)*$H725</f>
        <v>29.418399340816912</v>
      </c>
      <c r="K725" s="384">
        <f>VLOOKUP($A725,'8.Non-elective admissions - CCG'!$D$5:$N$215,4,0)*$H725</f>
        <v>29.843872058555998</v>
      </c>
      <c r="L725" s="384">
        <f>VLOOKUP($A725,'8.Non-elective admissions - CCG'!$D$5:$N$215,5,0)*$H725</f>
        <v>33.604746974285433</v>
      </c>
      <c r="M725" s="384">
        <f>VLOOKUP($A725,'8.Non-elective admissions - CCG'!$D$5:$N$215,6,0)*$H725</f>
        <v>32.411903819195494</v>
      </c>
      <c r="N725" s="384">
        <f>VLOOKUP($A725,'8.Non-elective admissions - CCG'!$D$5:$N$215,7,0)*$H725</f>
        <v>28.92454707915547</v>
      </c>
      <c r="O725" s="384">
        <f>VLOOKUP($A725,'8.Non-elective admissions - CCG'!$D$5:$N$215,8,0)*$H725</f>
        <v>29.327226615587108</v>
      </c>
      <c r="P725" s="384">
        <f>VLOOKUP($A725,'8.Non-elective admissions - CCG'!$D$5:$N$215,9,0)*$H725</f>
        <v>31.454590204282546</v>
      </c>
      <c r="Q725" s="384">
        <f>VLOOKUP($A725,'8.Non-elective admissions - CCG'!$D$5:$N$215,10,0)*$H725</f>
        <v>30.482081135164631</v>
      </c>
      <c r="R725" s="384">
        <f>VLOOKUP($A725,'8.Non-elective admissions - CCG'!$D$5:$Q$215,11,0)*$H725</f>
        <v>27.822876649295335</v>
      </c>
      <c r="S725" s="384">
        <f>VLOOKUP($A725,'8.Non-elective admissions - CCG'!$D$5:$Q$215,12,0)*$H725</f>
        <v>28.225556185726969</v>
      </c>
      <c r="T725" s="384">
        <f>VLOOKUP($A725,'8.Non-elective admissions - CCG'!$D$5:$Q$215,13,0)*$H725</f>
        <v>30.269344776295089</v>
      </c>
      <c r="U725" s="384">
        <f>VLOOKUP($A725,'8.Non-elective admissions - CCG'!$D$5:$Q$215,14,0)*$H725</f>
        <v>29.319628888484623</v>
      </c>
    </row>
    <row r="726" spans="1:21">
      <c r="A726" s="395" t="s">
        <v>572</v>
      </c>
      <c r="B726" s="395" t="s">
        <v>571</v>
      </c>
      <c r="C726" s="395" t="s">
        <v>714</v>
      </c>
      <c r="D726" s="395" t="s">
        <v>258</v>
      </c>
      <c r="E726" s="537">
        <f>COUNTIF($D$5:D726,D726)</f>
        <v>5</v>
      </c>
      <c r="F726" s="537" t="str">
        <f t="shared" si="22"/>
        <v>Kingston upon Thames5</v>
      </c>
      <c r="G726" s="541" t="str">
        <f t="shared" si="23"/>
        <v>NHS Sutton CCG</v>
      </c>
      <c r="H726" s="546">
        <v>1.0808034328885273E-3</v>
      </c>
      <c r="I726" s="546">
        <v>1.1374706481893382E-3</v>
      </c>
      <c r="J726" s="384">
        <f>VLOOKUP($A726,'8.Non-elective admissions - CCG'!$D$5:$N$215,3,0)*$H726</f>
        <v>4.184870892144378</v>
      </c>
      <c r="K726" s="384">
        <f>VLOOKUP($A726,'8.Non-elective admissions - CCG'!$D$5:$N$215,4,0)*$H726</f>
        <v>4.2453958843861352</v>
      </c>
      <c r="L726" s="384">
        <f>VLOOKUP($A726,'8.Non-elective admissions - CCG'!$D$5:$N$215,5,0)*$H726</f>
        <v>4.7803935836659566</v>
      </c>
      <c r="M726" s="384">
        <f>VLOOKUP($A726,'8.Non-elective admissions - CCG'!$D$5:$N$215,6,0)*$H726</f>
        <v>4.6107074447024576</v>
      </c>
      <c r="N726" s="384">
        <f>VLOOKUP($A726,'8.Non-elective admissions - CCG'!$D$5:$N$215,7,0)*$H726</f>
        <v>4.1146186690066235</v>
      </c>
      <c r="O726" s="384">
        <f>VLOOKUP($A726,'8.Non-elective admissions - CCG'!$D$5:$N$215,8,0)*$H726</f>
        <v>4.1719012509497153</v>
      </c>
      <c r="P726" s="384">
        <f>VLOOKUP($A726,'8.Non-elective admissions - CCG'!$D$5:$N$215,9,0)*$H726</f>
        <v>4.4745262121585032</v>
      </c>
      <c r="Q726" s="384">
        <f>VLOOKUP($A726,'8.Non-elective admissions - CCG'!$D$5:$N$215,10,0)*$H726</f>
        <v>4.3361833727487715</v>
      </c>
      <c r="R726" s="384">
        <f>VLOOKUP($A726,'8.Non-elective admissions - CCG'!$D$5:$Q$215,11,0)*$H726</f>
        <v>3.9579021712377869</v>
      </c>
      <c r="S726" s="384">
        <f>VLOOKUP($A726,'8.Non-elective admissions - CCG'!$D$5:$Q$215,12,0)*$H726</f>
        <v>4.0151847531808791</v>
      </c>
      <c r="T726" s="384">
        <f>VLOOKUP($A726,'8.Non-elective admissions - CCG'!$D$5:$Q$215,13,0)*$H726</f>
        <v>4.3059208766278925</v>
      </c>
      <c r="U726" s="384">
        <f>VLOOKUP($A726,'8.Non-elective admissions - CCG'!$D$5:$Q$215,14,0)*$H726</f>
        <v>4.1708204475168271</v>
      </c>
    </row>
    <row r="727" spans="1:21">
      <c r="A727" s="395" t="s">
        <v>572</v>
      </c>
      <c r="B727" s="395" t="s">
        <v>571</v>
      </c>
      <c r="C727" s="395" t="s">
        <v>728</v>
      </c>
      <c r="D727" s="395" t="s">
        <v>300</v>
      </c>
      <c r="E727" s="537">
        <f>COUNTIF($D$5:D727,D727)</f>
        <v>5</v>
      </c>
      <c r="F727" s="537" t="str">
        <f t="shared" si="22"/>
        <v>Merton5</v>
      </c>
      <c r="G727" s="541" t="str">
        <f t="shared" si="23"/>
        <v>NHS Sutton CCG</v>
      </c>
      <c r="H727" s="546">
        <v>3.3991803015548584E-2</v>
      </c>
      <c r="I727" s="546">
        <v>2.7634234610432538E-2</v>
      </c>
      <c r="J727" s="384">
        <f>VLOOKUP($A727,'8.Non-elective admissions - CCG'!$D$5:$N$215,3,0)*$H727</f>
        <v>131.61626127620411</v>
      </c>
      <c r="K727" s="384">
        <f>VLOOKUP($A727,'8.Non-elective admissions - CCG'!$D$5:$N$215,4,0)*$H727</f>
        <v>133.51980224507483</v>
      </c>
      <c r="L727" s="384">
        <f>VLOOKUP($A727,'8.Non-elective admissions - CCG'!$D$5:$N$215,5,0)*$H727</f>
        <v>150.34574473777138</v>
      </c>
      <c r="M727" s="384">
        <f>VLOOKUP($A727,'8.Non-elective admissions - CCG'!$D$5:$N$215,6,0)*$H727</f>
        <v>145.00903166433025</v>
      </c>
      <c r="N727" s="384">
        <f>VLOOKUP($A727,'8.Non-elective admissions - CCG'!$D$5:$N$215,7,0)*$H727</f>
        <v>129.40679408019346</v>
      </c>
      <c r="O727" s="384">
        <f>VLOOKUP($A727,'8.Non-elective admissions - CCG'!$D$5:$N$215,8,0)*$H727</f>
        <v>131.20835964001753</v>
      </c>
      <c r="P727" s="384">
        <f>VLOOKUP($A727,'8.Non-elective admissions - CCG'!$D$5:$N$215,9,0)*$H727</f>
        <v>140.72606448437114</v>
      </c>
      <c r="Q727" s="384">
        <f>VLOOKUP($A727,'8.Non-elective admissions - CCG'!$D$5:$N$215,10,0)*$H727</f>
        <v>136.37511369838091</v>
      </c>
      <c r="R727" s="384">
        <f>VLOOKUP($A727,'8.Non-elective admissions - CCG'!$D$5:$Q$215,11,0)*$H727</f>
        <v>124.47798264293891</v>
      </c>
      <c r="S727" s="384">
        <f>VLOOKUP($A727,'8.Non-elective admissions - CCG'!$D$5:$Q$215,12,0)*$H727</f>
        <v>126.279548202763</v>
      </c>
      <c r="T727" s="384">
        <f>VLOOKUP($A727,'8.Non-elective admissions - CCG'!$D$5:$Q$215,13,0)*$H727</f>
        <v>135.42334321394557</v>
      </c>
      <c r="U727" s="384">
        <f>VLOOKUP($A727,'8.Non-elective admissions - CCG'!$D$5:$Q$215,14,0)*$H727</f>
        <v>131.17436783700199</v>
      </c>
    </row>
    <row r="728" spans="1:21">
      <c r="A728" s="395" t="s">
        <v>572</v>
      </c>
      <c r="B728" s="395" t="s">
        <v>571</v>
      </c>
      <c r="C728" s="395" t="s">
        <v>775</v>
      </c>
      <c r="D728" s="395" t="s">
        <v>441</v>
      </c>
      <c r="E728" s="537">
        <f>COUNTIF($D$5:D728,D728)</f>
        <v>19</v>
      </c>
      <c r="F728" s="537" t="str">
        <f t="shared" si="22"/>
        <v>Surrey19</v>
      </c>
      <c r="G728" s="541" t="str">
        <f t="shared" si="23"/>
        <v>NHS Sutton CCG</v>
      </c>
      <c r="H728" s="546">
        <v>1.1701569840233709E-2</v>
      </c>
      <c r="I728" s="546">
        <v>1.8034584841712916E-3</v>
      </c>
      <c r="J728" s="384">
        <f>VLOOKUP($A728,'8.Non-elective admissions - CCG'!$D$5:$N$215,3,0)*$H728</f>
        <v>45.308478421384919</v>
      </c>
      <c r="K728" s="384">
        <f>VLOOKUP($A728,'8.Non-elective admissions - CCG'!$D$5:$N$215,4,0)*$H728</f>
        <v>45.963766332438013</v>
      </c>
      <c r="L728" s="384">
        <f>VLOOKUP($A728,'8.Non-elective admissions - CCG'!$D$5:$N$215,5,0)*$H728</f>
        <v>51.756043403353694</v>
      </c>
      <c r="M728" s="384">
        <f>VLOOKUP($A728,'8.Non-elective admissions - CCG'!$D$5:$N$215,6,0)*$H728</f>
        <v>49.918896938437001</v>
      </c>
      <c r="N728" s="384">
        <f>VLOOKUP($A728,'8.Non-elective admissions - CCG'!$D$5:$N$215,7,0)*$H728</f>
        <v>44.547876381769733</v>
      </c>
      <c r="O728" s="384">
        <f>VLOOKUP($A728,'8.Non-elective admissions - CCG'!$D$5:$N$215,8,0)*$H728</f>
        <v>45.168059583302117</v>
      </c>
      <c r="P728" s="384">
        <f>VLOOKUP($A728,'8.Non-elective admissions - CCG'!$D$5:$N$215,9,0)*$H728</f>
        <v>48.444499138567558</v>
      </c>
      <c r="Q728" s="384">
        <f>VLOOKUP($A728,'8.Non-elective admissions - CCG'!$D$5:$N$215,10,0)*$H728</f>
        <v>46.946698199017639</v>
      </c>
      <c r="R728" s="384">
        <f>VLOOKUP($A728,'8.Non-elective admissions - CCG'!$D$5:$Q$215,11,0)*$H728</f>
        <v>42.851148754935842</v>
      </c>
      <c r="S728" s="384">
        <f>VLOOKUP($A728,'8.Non-elective admissions - CCG'!$D$5:$Q$215,12,0)*$H728</f>
        <v>43.471331956468227</v>
      </c>
      <c r="T728" s="384">
        <f>VLOOKUP($A728,'8.Non-elective admissions - CCG'!$D$5:$Q$215,13,0)*$H728</f>
        <v>46.619054243491099</v>
      </c>
      <c r="U728" s="384">
        <f>VLOOKUP($A728,'8.Non-elective admissions - CCG'!$D$5:$Q$215,14,0)*$H728</f>
        <v>45.156358013461883</v>
      </c>
    </row>
    <row r="729" spans="1:21">
      <c r="A729" s="395" t="s">
        <v>572</v>
      </c>
      <c r="B729" s="395" t="s">
        <v>571</v>
      </c>
      <c r="C729" s="395" t="s">
        <v>776</v>
      </c>
      <c r="D729" s="395" t="s">
        <v>444</v>
      </c>
      <c r="E729" s="537">
        <f>COUNTIF($D$5:D729,D729)</f>
        <v>6</v>
      </c>
      <c r="F729" s="537" t="str">
        <f t="shared" si="22"/>
        <v>Sutton6</v>
      </c>
      <c r="G729" s="541" t="str">
        <f t="shared" si="23"/>
        <v>NHS Sutton CCG</v>
      </c>
      <c r="H729" s="546">
        <v>0.94562809660884539</v>
      </c>
      <c r="I729" s="546">
        <v>0.86189138576779023</v>
      </c>
      <c r="J729" s="384">
        <f>VLOOKUP($A729,'8.Non-elective admissions - CCG'!$D$5:$N$215,3,0)*$H729</f>
        <v>3661.4719900694495</v>
      </c>
      <c r="K729" s="384">
        <f>VLOOKUP($A729,'8.Non-elective admissions - CCG'!$D$5:$N$215,4,0)*$H729</f>
        <v>3714.4271634795446</v>
      </c>
      <c r="L729" s="384">
        <f>VLOOKUP($A729,'8.Non-elective admissions - CCG'!$D$5:$N$215,5,0)*$H729</f>
        <v>4182.513071300923</v>
      </c>
      <c r="M729" s="384">
        <f>VLOOKUP($A729,'8.Non-elective admissions - CCG'!$D$5:$N$215,6,0)*$H729</f>
        <v>4034.0494601333344</v>
      </c>
      <c r="N729" s="384">
        <f>VLOOKUP($A729,'8.Non-elective admissions - CCG'!$D$5:$N$215,7,0)*$H729</f>
        <v>3600.0061637898743</v>
      </c>
      <c r="O729" s="384">
        <f>VLOOKUP($A729,'8.Non-elective admissions - CCG'!$D$5:$N$215,8,0)*$H729</f>
        <v>3650.1244529101432</v>
      </c>
      <c r="P729" s="384">
        <f>VLOOKUP($A729,'8.Non-elective admissions - CCG'!$D$5:$N$215,9,0)*$H729</f>
        <v>3914.90031996062</v>
      </c>
      <c r="Q729" s="384">
        <f>VLOOKUP($A729,'8.Non-elective admissions - CCG'!$D$5:$N$215,10,0)*$H729</f>
        <v>3793.8599235946876</v>
      </c>
      <c r="R729" s="384">
        <f>VLOOKUP($A729,'8.Non-elective admissions - CCG'!$D$5:$Q$215,11,0)*$H729</f>
        <v>3462.890089781592</v>
      </c>
      <c r="S729" s="384">
        <f>VLOOKUP($A729,'8.Non-elective admissions - CCG'!$D$5:$Q$215,12,0)*$H729</f>
        <v>3513.0083789018609</v>
      </c>
      <c r="T729" s="384">
        <f>VLOOKUP($A729,'8.Non-elective admissions - CCG'!$D$5:$Q$215,13,0)*$H729</f>
        <v>3767.3823368896401</v>
      </c>
      <c r="U729" s="384">
        <f>VLOOKUP($A729,'8.Non-elective admissions - CCG'!$D$5:$Q$215,14,0)*$H729</f>
        <v>3649.1788248135344</v>
      </c>
    </row>
    <row r="730" spans="1:21">
      <c r="A730" s="395" t="s">
        <v>574</v>
      </c>
      <c r="B730" s="395" t="s">
        <v>573</v>
      </c>
      <c r="C730" s="395" t="s">
        <v>712</v>
      </c>
      <c r="D730" s="395" t="s">
        <v>252</v>
      </c>
      <c r="E730" s="537">
        <f>COUNTIF($D$5:D730,D730)</f>
        <v>12</v>
      </c>
      <c r="F730" s="537" t="str">
        <f t="shared" si="22"/>
        <v>Kent12</v>
      </c>
      <c r="G730" s="541" t="str">
        <f t="shared" si="23"/>
        <v>NHS Swale CCG</v>
      </c>
      <c r="H730" s="546">
        <v>0.99797383564939035</v>
      </c>
      <c r="I730" s="546">
        <v>7.0317608183066843E-2</v>
      </c>
      <c r="J730" s="384">
        <f>VLOOKUP($A730,'8.Non-elective admissions - CCG'!$D$5:$N$215,3,0)*$H730</f>
        <v>2300.3296911718448</v>
      </c>
      <c r="K730" s="384">
        <f>VLOOKUP($A730,'8.Non-elective admissions - CCG'!$D$5:$N$215,4,0)*$H730</f>
        <v>2302.3256388431437</v>
      </c>
      <c r="L730" s="384">
        <f>VLOOKUP($A730,'8.Non-elective admissions - CCG'!$D$5:$N$215,5,0)*$H730</f>
        <v>2326.2770108987288</v>
      </c>
      <c r="M730" s="384">
        <f>VLOOKUP($A730,'8.Non-elective admissions - CCG'!$D$5:$N$215,6,0)*$H730</f>
        <v>2231.469496512037</v>
      </c>
      <c r="N730" s="384">
        <f>VLOOKUP($A730,'8.Non-elective admissions - CCG'!$D$5:$N$215,7,0)*$H730</f>
        <v>2189.5545954147624</v>
      </c>
      <c r="O730" s="384">
        <f>VLOOKUP($A730,'8.Non-elective admissions - CCG'!$D$5:$N$215,8,0)*$H730</f>
        <v>2095.7450548637198</v>
      </c>
      <c r="P730" s="384">
        <f>VLOOKUP($A730,'8.Non-elective admissions - CCG'!$D$5:$N$215,9,0)*$H730</f>
        <v>2050.8362322594971</v>
      </c>
      <c r="Q730" s="384">
        <f>VLOOKUP($A730,'8.Non-elective admissions - CCG'!$D$5:$N$215,10,0)*$H730</f>
        <v>2001.935514312677</v>
      </c>
      <c r="R730" s="384">
        <f>VLOOKUP($A730,'8.Non-elective admissions - CCG'!$D$5:$Q$215,11,0)*$H730</f>
        <v>2199.5343337712561</v>
      </c>
      <c r="S730" s="384">
        <f>VLOOKUP($A730,'8.Non-elective admissions - CCG'!$D$5:$Q$215,12,0)*$H730</f>
        <v>2110.7146623984604</v>
      </c>
      <c r="T730" s="384">
        <f>VLOOKUP($A730,'8.Non-elective admissions - CCG'!$D$5:$Q$215,13,0)*$H730</f>
        <v>2065.8058397942382</v>
      </c>
      <c r="U730" s="384">
        <f>VLOOKUP($A730,'8.Non-elective admissions - CCG'!$D$5:$Q$215,14,0)*$H730</f>
        <v>2020.8970171900155</v>
      </c>
    </row>
    <row r="731" spans="1:21">
      <c r="A731" s="395" t="s">
        <v>574</v>
      </c>
      <c r="B731" s="395" t="s">
        <v>573</v>
      </c>
      <c r="C731" s="395" t="s">
        <v>727</v>
      </c>
      <c r="D731" s="395" t="s">
        <v>297</v>
      </c>
      <c r="E731" s="537">
        <f>COUNTIF($D$5:D731,D731)</f>
        <v>3</v>
      </c>
      <c r="F731" s="537" t="str">
        <f t="shared" si="22"/>
        <v>Medway3</v>
      </c>
      <c r="G731" s="541" t="str">
        <f t="shared" si="23"/>
        <v>NHS Swale CCG</v>
      </c>
      <c r="H731" s="546">
        <v>2.0261643506096997E-3</v>
      </c>
      <c r="I731" s="546">
        <v>0</v>
      </c>
      <c r="J731" s="384">
        <f>VLOOKUP($A731,'8.Non-elective admissions - CCG'!$D$5:$N$215,3,0)*$H731</f>
        <v>4.670308828155358</v>
      </c>
      <c r="K731" s="384">
        <f>VLOOKUP($A731,'8.Non-elective admissions - CCG'!$D$5:$N$215,4,0)*$H731</f>
        <v>4.6743611568565768</v>
      </c>
      <c r="L731" s="384">
        <f>VLOOKUP($A731,'8.Non-elective admissions - CCG'!$D$5:$N$215,5,0)*$H731</f>
        <v>4.7229891012712102</v>
      </c>
      <c r="M731" s="384">
        <f>VLOOKUP($A731,'8.Non-elective admissions - CCG'!$D$5:$N$215,6,0)*$H731</f>
        <v>4.5305034879632888</v>
      </c>
      <c r="N731" s="384">
        <f>VLOOKUP($A731,'8.Non-elective admissions - CCG'!$D$5:$N$215,7,0)*$H731</f>
        <v>4.4454045852376813</v>
      </c>
      <c r="O731" s="384">
        <f>VLOOKUP($A731,'8.Non-elective admissions - CCG'!$D$5:$N$215,8,0)*$H731</f>
        <v>4.2549451362803694</v>
      </c>
      <c r="P731" s="384">
        <f>VLOOKUP($A731,'8.Non-elective admissions - CCG'!$D$5:$N$215,9,0)*$H731</f>
        <v>4.1637677405029327</v>
      </c>
      <c r="Q731" s="384">
        <f>VLOOKUP($A731,'8.Non-elective admissions - CCG'!$D$5:$N$215,10,0)*$H731</f>
        <v>4.0644856873230575</v>
      </c>
      <c r="R731" s="384">
        <f>VLOOKUP($A731,'8.Non-elective admissions - CCG'!$D$5:$Q$215,11,0)*$H731</f>
        <v>4.4656662287437783</v>
      </c>
      <c r="S731" s="384">
        <f>VLOOKUP($A731,'8.Non-elective admissions - CCG'!$D$5:$Q$215,12,0)*$H731</f>
        <v>4.2853376015395153</v>
      </c>
      <c r="T731" s="384">
        <f>VLOOKUP($A731,'8.Non-elective admissions - CCG'!$D$5:$Q$215,13,0)*$H731</f>
        <v>4.1941602057620786</v>
      </c>
      <c r="U731" s="384">
        <f>VLOOKUP($A731,'8.Non-elective admissions - CCG'!$D$5:$Q$215,14,0)*$H731</f>
        <v>4.1029828099846419</v>
      </c>
    </row>
    <row r="732" spans="1:21">
      <c r="A732" s="395" t="s">
        <v>576</v>
      </c>
      <c r="B732" s="395" t="s">
        <v>575</v>
      </c>
      <c r="C732" s="395" t="s">
        <v>744</v>
      </c>
      <c r="D732" s="395" t="s">
        <v>348</v>
      </c>
      <c r="E732" s="537">
        <f>COUNTIF($D$5:D732,D732)</f>
        <v>8</v>
      </c>
      <c r="F732" s="537" t="str">
        <f t="shared" si="22"/>
        <v>Oxfordshire8</v>
      </c>
      <c r="G732" s="541" t="str">
        <f t="shared" si="23"/>
        <v>NHS Swindon CCG</v>
      </c>
      <c r="H732" s="546">
        <v>2.4793133938351496E-2</v>
      </c>
      <c r="I732" s="546">
        <v>7.9659201090013752E-3</v>
      </c>
      <c r="J732" s="384">
        <f>VLOOKUP($A732,'8.Non-elective admissions - CCG'!$D$5:$N$215,3,0)*$H732</f>
        <v>120.59380347614167</v>
      </c>
      <c r="K732" s="384">
        <f>VLOOKUP($A732,'8.Non-elective admissions - CCG'!$D$5:$N$215,4,0)*$H732</f>
        <v>122.62684045908649</v>
      </c>
      <c r="L732" s="384">
        <f>VLOOKUP($A732,'8.Non-elective admissions - CCG'!$D$5:$N$215,5,0)*$H732</f>
        <v>141.02334584134331</v>
      </c>
      <c r="M732" s="384">
        <f>VLOOKUP($A732,'8.Non-elective admissions - CCG'!$D$5:$N$215,6,0)*$H732</f>
        <v>131.08129913206434</v>
      </c>
      <c r="N732" s="384">
        <f>VLOOKUP($A732,'8.Non-elective admissions - CCG'!$D$5:$N$215,7,0)*$H732</f>
        <v>114.17238178610864</v>
      </c>
      <c r="O732" s="384">
        <f>VLOOKUP($A732,'8.Non-elective admissions - CCG'!$D$5:$N$215,8,0)*$H732</f>
        <v>116.25500503693016</v>
      </c>
      <c r="P732" s="384">
        <f>VLOOKUP($A732,'8.Non-elective admissions - CCG'!$D$5:$N$215,9,0)*$H732</f>
        <v>135.22175249976905</v>
      </c>
      <c r="Q732" s="384">
        <f>VLOOKUP($A732,'8.Non-elective admissions - CCG'!$D$5:$N$215,10,0)*$H732</f>
        <v>122.27973658394957</v>
      </c>
      <c r="R732" s="384">
        <f>VLOOKUP($A732,'8.Non-elective admissions - CCG'!$D$5:$Q$215,11,0)*$H732</f>
        <v>107.50302875669209</v>
      </c>
      <c r="S732" s="384">
        <f>VLOOKUP($A732,'8.Non-elective admissions - CCG'!$D$5:$Q$215,12,0)*$H732</f>
        <v>109.63523827539031</v>
      </c>
      <c r="T732" s="384">
        <f>VLOOKUP($A732,'8.Non-elective admissions - CCG'!$D$5:$Q$215,13,0)*$H732</f>
        <v>129.19702095274965</v>
      </c>
      <c r="U732" s="384">
        <f>VLOOKUP($A732,'8.Non-elective admissions - CCG'!$D$5:$Q$215,14,0)*$H732</f>
        <v>115.90790116179325</v>
      </c>
    </row>
    <row r="733" spans="1:21">
      <c r="A733" s="395" t="s">
        <v>576</v>
      </c>
      <c r="B733" s="395" t="s">
        <v>575</v>
      </c>
      <c r="C733" s="395" t="s">
        <v>777</v>
      </c>
      <c r="D733" s="395" t="s">
        <v>447</v>
      </c>
      <c r="E733" s="537">
        <f>COUNTIF($D$5:D733,D733)</f>
        <v>2</v>
      </c>
      <c r="F733" s="537" t="str">
        <f t="shared" si="22"/>
        <v>Swindon2</v>
      </c>
      <c r="G733" s="541" t="str">
        <f t="shared" si="23"/>
        <v>NHS Swindon CCG</v>
      </c>
      <c r="H733" s="546">
        <v>0.96634714786579334</v>
      </c>
      <c r="I733" s="546">
        <v>0.98416702134808809</v>
      </c>
      <c r="J733" s="384">
        <f>VLOOKUP($A733,'8.Non-elective admissions - CCG'!$D$5:$N$215,3,0)*$H733</f>
        <v>4700.3125272192192</v>
      </c>
      <c r="K733" s="384">
        <f>VLOOKUP($A733,'8.Non-elective admissions - CCG'!$D$5:$N$215,4,0)*$H733</f>
        <v>4779.552993344214</v>
      </c>
      <c r="L733" s="384">
        <f>VLOOKUP($A733,'8.Non-elective admissions - CCG'!$D$5:$N$215,5,0)*$H733</f>
        <v>5496.5825770606325</v>
      </c>
      <c r="M733" s="384">
        <f>VLOOKUP($A733,'8.Non-elective admissions - CCG'!$D$5:$N$215,6,0)*$H733</f>
        <v>5109.0773707664493</v>
      </c>
      <c r="N733" s="384">
        <f>VLOOKUP($A733,'8.Non-elective admissions - CCG'!$D$5:$N$215,7,0)*$H733</f>
        <v>4450.0286159219786</v>
      </c>
      <c r="O733" s="384">
        <f>VLOOKUP($A733,'8.Non-elective admissions - CCG'!$D$5:$N$215,8,0)*$H733</f>
        <v>4531.2017763427048</v>
      </c>
      <c r="P733" s="384">
        <f>VLOOKUP($A733,'8.Non-elective admissions - CCG'!$D$5:$N$215,9,0)*$H733</f>
        <v>5270.4573444600373</v>
      </c>
      <c r="Q733" s="384">
        <f>VLOOKUP($A733,'8.Non-elective admissions - CCG'!$D$5:$N$215,10,0)*$H733</f>
        <v>4766.0241332740925</v>
      </c>
      <c r="R733" s="384">
        <f>VLOOKUP($A733,'8.Non-elective admissions - CCG'!$D$5:$Q$215,11,0)*$H733</f>
        <v>4190.0812331460802</v>
      </c>
      <c r="S733" s="384">
        <f>VLOOKUP($A733,'8.Non-elective admissions - CCG'!$D$5:$Q$215,12,0)*$H733</f>
        <v>4273.1870878625377</v>
      </c>
      <c r="T733" s="384">
        <f>VLOOKUP($A733,'8.Non-elective admissions - CCG'!$D$5:$Q$215,13,0)*$H733</f>
        <v>5035.6349875286487</v>
      </c>
      <c r="U733" s="384">
        <f>VLOOKUP($A733,'8.Non-elective admissions - CCG'!$D$5:$Q$215,14,0)*$H733</f>
        <v>4517.6729162725842</v>
      </c>
    </row>
    <row r="734" spans="1:21">
      <c r="A734" s="395" t="s">
        <v>576</v>
      </c>
      <c r="B734" s="395" t="s">
        <v>575</v>
      </c>
      <c r="C734" s="395" t="s">
        <v>794</v>
      </c>
      <c r="D734" s="395" t="s">
        <v>498</v>
      </c>
      <c r="E734" s="537">
        <f>COUNTIF($D$5:D734,D734)</f>
        <v>7</v>
      </c>
      <c r="F734" s="537" t="str">
        <f t="shared" si="22"/>
        <v>Wiltshire7</v>
      </c>
      <c r="G734" s="541" t="str">
        <f t="shared" si="23"/>
        <v>NHS Swindon CCG</v>
      </c>
      <c r="H734" s="546">
        <v>8.8597181958552009E-3</v>
      </c>
      <c r="I734" s="546">
        <v>4.2105703294865364E-3</v>
      </c>
      <c r="J734" s="384">
        <f>VLOOKUP($A734,'8.Non-elective admissions - CCG'!$D$5:$N$215,3,0)*$H734</f>
        <v>43.093669304639697</v>
      </c>
      <c r="K734" s="384">
        <f>VLOOKUP($A734,'8.Non-elective admissions - CCG'!$D$5:$N$215,4,0)*$H734</f>
        <v>43.820166196699823</v>
      </c>
      <c r="L734" s="384">
        <f>VLOOKUP($A734,'8.Non-elective admissions - CCG'!$D$5:$N$215,5,0)*$H734</f>
        <v>50.394077098024383</v>
      </c>
      <c r="M734" s="384">
        <f>VLOOKUP($A734,'8.Non-elective admissions - CCG'!$D$5:$N$215,6,0)*$H734</f>
        <v>46.841330101486449</v>
      </c>
      <c r="N734" s="384">
        <f>VLOOKUP($A734,'8.Non-elective admissions - CCG'!$D$5:$N$215,7,0)*$H734</f>
        <v>40.799002291913197</v>
      </c>
      <c r="O734" s="384">
        <f>VLOOKUP($A734,'8.Non-elective admissions - CCG'!$D$5:$N$215,8,0)*$H734</f>
        <v>41.543218620365039</v>
      </c>
      <c r="P734" s="384">
        <f>VLOOKUP($A734,'8.Non-elective admissions - CCG'!$D$5:$N$215,9,0)*$H734</f>
        <v>48.320903040194267</v>
      </c>
      <c r="Q734" s="384">
        <f>VLOOKUP($A734,'8.Non-elective admissions - CCG'!$D$5:$N$215,10,0)*$H734</f>
        <v>43.696130141957852</v>
      </c>
      <c r="R734" s="384">
        <f>VLOOKUP($A734,'8.Non-elective admissions - CCG'!$D$5:$Q$215,11,0)*$H734</f>
        <v>38.41573809722815</v>
      </c>
      <c r="S734" s="384">
        <f>VLOOKUP($A734,'8.Non-elective admissions - CCG'!$D$5:$Q$215,12,0)*$H734</f>
        <v>39.1776738620717</v>
      </c>
      <c r="T734" s="384">
        <f>VLOOKUP($A734,'8.Non-elective admissions - CCG'!$D$5:$Q$215,13,0)*$H734</f>
        <v>46.167991518601454</v>
      </c>
      <c r="U734" s="384">
        <f>VLOOKUP($A734,'8.Non-elective admissions - CCG'!$D$5:$Q$215,14,0)*$H734</f>
        <v>41.419182565623068</v>
      </c>
    </row>
    <row r="735" spans="1:21">
      <c r="A735" s="395" t="s">
        <v>578</v>
      </c>
      <c r="B735" s="395" t="s">
        <v>577</v>
      </c>
      <c r="C735" s="395" t="s">
        <v>683</v>
      </c>
      <c r="D735" s="395" t="s">
        <v>146</v>
      </c>
      <c r="E735" s="537">
        <f>COUNTIF($D$5:D735,D735)</f>
        <v>13</v>
      </c>
      <c r="F735" s="537" t="str">
        <f t="shared" si="22"/>
        <v>Derbyshire13</v>
      </c>
      <c r="G735" s="541" t="str">
        <f t="shared" si="23"/>
        <v>NHS Tameside and Glossop CCG</v>
      </c>
      <c r="H735" s="546">
        <v>0.14167034836429399</v>
      </c>
      <c r="I735" s="546">
        <v>4.3473468146571381E-2</v>
      </c>
      <c r="J735" s="384">
        <f>VLOOKUP($A735,'8.Non-elective admissions - CCG'!$D$5:$N$215,3,0)*$H735</f>
        <v>1002.8843960708372</v>
      </c>
      <c r="K735" s="384">
        <f>VLOOKUP($A735,'8.Non-elective admissions - CCG'!$D$5:$N$215,4,0)*$H735</f>
        <v>995.09252691080098</v>
      </c>
      <c r="L735" s="384">
        <f>VLOOKUP($A735,'8.Non-elective admissions - CCG'!$D$5:$N$215,5,0)*$H735</f>
        <v>1064.9360086543979</v>
      </c>
      <c r="M735" s="384">
        <f>VLOOKUP($A735,'8.Non-elective admissions - CCG'!$D$5:$N$215,6,0)*$H735</f>
        <v>1006.9928361734017</v>
      </c>
      <c r="N735" s="384">
        <f>VLOOKUP($A735,'8.Non-elective admissions - CCG'!$D$5:$N$215,7,0)*$H735</f>
        <v>978.45289365956512</v>
      </c>
      <c r="O735" s="384">
        <f>VLOOKUP($A735,'8.Non-elective admissions - CCG'!$D$5:$N$215,8,0)*$H735</f>
        <v>970.34729992511575</v>
      </c>
      <c r="P735" s="384">
        <f>VLOOKUP($A735,'8.Non-elective admissions - CCG'!$D$5:$N$215,9,0)*$H735</f>
        <v>966.35564693294702</v>
      </c>
      <c r="Q735" s="384">
        <f>VLOOKUP($A735,'8.Non-elective admissions - CCG'!$D$5:$N$215,10,0)*$H735</f>
        <v>968.61932030794787</v>
      </c>
      <c r="R735" s="384">
        <f>VLOOKUP($A735,'8.Non-elective admissions - CCG'!$D$5:$Q$215,11,0)*$H735</f>
        <v>1015.1312528352375</v>
      </c>
      <c r="S735" s="384">
        <f>VLOOKUP($A735,'8.Non-elective admissions - CCG'!$D$5:$Q$215,12,0)*$H735</f>
        <v>1006.7296187275066</v>
      </c>
      <c r="T735" s="384">
        <f>VLOOKUP($A735,'8.Non-elective admissions - CCG'!$D$5:$Q$215,13,0)*$H735</f>
        <v>1002.6156812389688</v>
      </c>
      <c r="U735" s="384">
        <f>VLOOKUP($A735,'8.Non-elective admissions - CCG'!$D$5:$Q$215,14,0)*$H735</f>
        <v>1004.9831472302589</v>
      </c>
    </row>
    <row r="736" spans="1:21">
      <c r="A736" s="395" t="s">
        <v>578</v>
      </c>
      <c r="B736" s="395" t="s">
        <v>577</v>
      </c>
      <c r="C736" s="395" t="s">
        <v>726</v>
      </c>
      <c r="D736" s="395" t="s">
        <v>294</v>
      </c>
      <c r="E736" s="537">
        <f>COUNTIF($D$5:D736,D736)</f>
        <v>9</v>
      </c>
      <c r="F736" s="537" t="str">
        <f t="shared" si="22"/>
        <v>Manchester9</v>
      </c>
      <c r="G736" s="541" t="str">
        <f t="shared" si="23"/>
        <v>NHS Tameside and Glossop CCG</v>
      </c>
      <c r="H736" s="546">
        <v>4.2363608586682292E-3</v>
      </c>
      <c r="I736" s="546">
        <v>1.8541174599675076E-3</v>
      </c>
      <c r="J736" s="384">
        <f>VLOOKUP($A736,'8.Non-elective admissions - CCG'!$D$5:$N$215,3,0)*$H736</f>
        <v>29.989198518512396</v>
      </c>
      <c r="K736" s="384">
        <f>VLOOKUP($A736,'8.Non-elective admissions - CCG'!$D$5:$N$215,4,0)*$H736</f>
        <v>29.756198671285642</v>
      </c>
      <c r="L736" s="384">
        <f>VLOOKUP($A736,'8.Non-elective admissions - CCG'!$D$5:$N$215,5,0)*$H736</f>
        <v>31.844724574609078</v>
      </c>
      <c r="M736" s="384">
        <f>VLOOKUP($A736,'8.Non-elective admissions - CCG'!$D$5:$N$215,6,0)*$H736</f>
        <v>30.112052983413772</v>
      </c>
      <c r="N736" s="384">
        <f>VLOOKUP($A736,'8.Non-elective admissions - CCG'!$D$5:$N$215,7,0)*$H736</f>
        <v>29.258624607114733</v>
      </c>
      <c r="O736" s="384">
        <f>VLOOKUP($A736,'8.Non-elective admissions - CCG'!$D$5:$N$215,8,0)*$H736</f>
        <v>29.016243470699443</v>
      </c>
      <c r="P736" s="384">
        <f>VLOOKUP($A736,'8.Non-elective admissions - CCG'!$D$5:$N$215,9,0)*$H736</f>
        <v>28.8968812845211</v>
      </c>
      <c r="Q736" s="384">
        <f>VLOOKUP($A736,'8.Non-elective admissions - CCG'!$D$5:$N$215,10,0)*$H736</f>
        <v>28.964571788521301</v>
      </c>
      <c r="R736" s="384">
        <f>VLOOKUP($A736,'8.Non-elective admissions - CCG'!$D$5:$Q$215,11,0)*$H736</f>
        <v>30.355415622073203</v>
      </c>
      <c r="S736" s="384">
        <f>VLOOKUP($A736,'8.Non-elective admissions - CCG'!$D$5:$Q$215,12,0)*$H736</f>
        <v>30.104182006191067</v>
      </c>
      <c r="T736" s="384">
        <f>VLOOKUP($A736,'8.Non-elective admissions - CCG'!$D$5:$Q$215,13,0)*$H736</f>
        <v>29.981163153250616</v>
      </c>
      <c r="U736" s="384">
        <f>VLOOKUP($A736,'8.Non-elective admissions - CCG'!$D$5:$Q$215,14,0)*$H736</f>
        <v>30.051957362310791</v>
      </c>
    </row>
    <row r="737" spans="1:21">
      <c r="A737" s="395" t="s">
        <v>578</v>
      </c>
      <c r="B737" s="395" t="s">
        <v>577</v>
      </c>
      <c r="C737" s="395" t="s">
        <v>743</v>
      </c>
      <c r="D737" s="395" t="s">
        <v>345</v>
      </c>
      <c r="E737" s="537">
        <f>COUNTIF($D$5:D737,D737)</f>
        <v>4</v>
      </c>
      <c r="F737" s="537" t="str">
        <f t="shared" si="22"/>
        <v>Oldham4</v>
      </c>
      <c r="G737" s="541" t="str">
        <f t="shared" si="23"/>
        <v>NHS Tameside and Glossop CCG</v>
      </c>
      <c r="H737" s="546">
        <v>1.6350866472052818E-3</v>
      </c>
      <c r="I737" s="546">
        <v>1.6526994090347569E-3</v>
      </c>
      <c r="J737" s="384">
        <f>VLOOKUP($A737,'8.Non-elective admissions - CCG'!$D$5:$N$215,3,0)*$H737</f>
        <v>11.57477837556619</v>
      </c>
      <c r="K737" s="384">
        <f>VLOOKUP($A737,'8.Non-elective admissions - CCG'!$D$5:$N$215,4,0)*$H737</f>
        <v>11.4848486099699</v>
      </c>
      <c r="L737" s="384">
        <f>VLOOKUP($A737,'8.Non-elective admissions - CCG'!$D$5:$N$215,5,0)*$H737</f>
        <v>12.290946327042104</v>
      </c>
      <c r="M737" s="384">
        <f>VLOOKUP($A737,'8.Non-elective admissions - CCG'!$D$5:$N$215,6,0)*$H737</f>
        <v>11.622195888335144</v>
      </c>
      <c r="N737" s="384">
        <f>VLOOKUP($A737,'8.Non-elective admissions - CCG'!$D$5:$N$215,7,0)*$H737</f>
        <v>11.292802479939022</v>
      </c>
      <c r="O737" s="384">
        <f>VLOOKUP($A737,'8.Non-elective admissions - CCG'!$D$5:$N$215,8,0)*$H737</f>
        <v>11.199251865883998</v>
      </c>
      <c r="P737" s="384">
        <f>VLOOKUP($A737,'8.Non-elective admissions - CCG'!$D$5:$N$215,9,0)*$H737</f>
        <v>11.153182250166042</v>
      </c>
      <c r="Q737" s="384">
        <f>VLOOKUP($A737,'8.Non-elective admissions - CCG'!$D$5:$N$215,10,0)*$H737</f>
        <v>11.179308409604715</v>
      </c>
      <c r="R737" s="384">
        <f>VLOOKUP($A737,'8.Non-elective admissions - CCG'!$D$5:$Q$215,11,0)*$H737</f>
        <v>11.716125327817728</v>
      </c>
      <c r="S737" s="384">
        <f>VLOOKUP($A737,'8.Non-elective admissions - CCG'!$D$5:$Q$215,12,0)*$H737</f>
        <v>11.619157967301817</v>
      </c>
      <c r="T737" s="384">
        <f>VLOOKUP($A737,'8.Non-elective admissions - CCG'!$D$5:$Q$215,13,0)*$H737</f>
        <v>11.571677006517785</v>
      </c>
      <c r="U737" s="384">
        <f>VLOOKUP($A737,'8.Non-elective admissions - CCG'!$D$5:$Q$215,14,0)*$H737</f>
        <v>11.599001087207675</v>
      </c>
    </row>
    <row r="738" spans="1:21">
      <c r="A738" s="395" t="s">
        <v>578</v>
      </c>
      <c r="B738" s="395" t="s">
        <v>577</v>
      </c>
      <c r="C738" s="395" t="s">
        <v>770</v>
      </c>
      <c r="D738" s="395" t="s">
        <v>426</v>
      </c>
      <c r="E738" s="537">
        <f>COUNTIF($D$5:D738,D738)</f>
        <v>5</v>
      </c>
      <c r="F738" s="537" t="str">
        <f t="shared" si="22"/>
        <v>Stockport5</v>
      </c>
      <c r="G738" s="541" t="str">
        <f t="shared" si="23"/>
        <v>NHS Tameside and Glossop CCG</v>
      </c>
      <c r="H738" s="546">
        <v>2.2172765897707988E-3</v>
      </c>
      <c r="I738" s="546">
        <v>1.791582564598729E-3</v>
      </c>
      <c r="J738" s="384">
        <f>VLOOKUP($A738,'8.Non-elective admissions - CCG'!$D$5:$N$215,3,0)*$H738</f>
        <v>15.696100978987484</v>
      </c>
      <c r="K738" s="384">
        <f>VLOOKUP($A738,'8.Non-elective admissions - CCG'!$D$5:$N$215,4,0)*$H738</f>
        <v>15.57415076655009</v>
      </c>
      <c r="L738" s="384">
        <f>VLOOKUP($A738,'8.Non-elective admissions - CCG'!$D$5:$N$215,5,0)*$H738</f>
        <v>16.667268125307096</v>
      </c>
      <c r="M738" s="384">
        <f>VLOOKUP($A738,'8.Non-elective admissions - CCG'!$D$5:$N$215,6,0)*$H738</f>
        <v>15.760402000090838</v>
      </c>
      <c r="N738" s="384">
        <f>VLOOKUP($A738,'8.Non-elective admissions - CCG'!$D$5:$N$215,7,0)*$H738</f>
        <v>15.313724575068827</v>
      </c>
      <c r="O738" s="384">
        <f>VLOOKUP($A738,'8.Non-elective admissions - CCG'!$D$5:$N$215,8,0)*$H738</f>
        <v>15.186864272676029</v>
      </c>
      <c r="P738" s="384">
        <f>VLOOKUP($A738,'8.Non-elective admissions - CCG'!$D$5:$N$215,9,0)*$H738</f>
        <v>15.124391081664557</v>
      </c>
      <c r="Q738" s="384">
        <f>VLOOKUP($A738,'8.Non-elective admissions - CCG'!$D$5:$N$215,10,0)*$H738</f>
        <v>15.159819737267</v>
      </c>
      <c r="R738" s="384">
        <f>VLOOKUP($A738,'8.Non-elective admissions - CCG'!$D$5:$Q$215,11,0)*$H738</f>
        <v>15.887776012722528</v>
      </c>
      <c r="S738" s="384">
        <f>VLOOKUP($A738,'8.Non-elective admissions - CCG'!$D$5:$Q$215,12,0)*$H738</f>
        <v>15.756282395053223</v>
      </c>
      <c r="T738" s="384">
        <f>VLOOKUP($A738,'8.Non-elective admissions - CCG'!$D$5:$Q$215,13,0)*$H738</f>
        <v>15.691895334596087</v>
      </c>
      <c r="U738" s="384">
        <f>VLOOKUP($A738,'8.Non-elective admissions - CCG'!$D$5:$Q$215,14,0)*$H738</f>
        <v>15.728948444016469</v>
      </c>
    </row>
    <row r="739" spans="1:21">
      <c r="A739" s="395" t="s">
        <v>578</v>
      </c>
      <c r="B739" s="395" t="s">
        <v>577</v>
      </c>
      <c r="C739" s="395" t="s">
        <v>778</v>
      </c>
      <c r="D739" s="395" t="s">
        <v>450</v>
      </c>
      <c r="E739" s="537">
        <f>COUNTIF($D$5:D739,D739)</f>
        <v>5</v>
      </c>
      <c r="F739" s="537" t="str">
        <f t="shared" si="22"/>
        <v>Tameside5</v>
      </c>
      <c r="G739" s="541" t="str">
        <f t="shared" si="23"/>
        <v>NHS Tameside and Glossop CCG</v>
      </c>
      <c r="H739" s="546">
        <v>0.85024092754006164</v>
      </c>
      <c r="I739" s="546">
        <v>0.88161956424011745</v>
      </c>
      <c r="J739" s="384">
        <f>VLOOKUP($A739,'8.Non-elective admissions - CCG'!$D$5:$N$215,3,0)*$H739</f>
        <v>6018.8555260560961</v>
      </c>
      <c r="K739" s="384">
        <f>VLOOKUP($A739,'8.Non-elective admissions - CCG'!$D$5:$N$215,4,0)*$H739</f>
        <v>5972.0922750413929</v>
      </c>
      <c r="L739" s="384">
        <f>VLOOKUP($A739,'8.Non-elective admissions - CCG'!$D$5:$N$215,5,0)*$H739</f>
        <v>6391.2610523186431</v>
      </c>
      <c r="M739" s="384">
        <f>VLOOKUP($A739,'8.Non-elective admissions - CCG'!$D$5:$N$215,6,0)*$H739</f>
        <v>6043.5125129547578</v>
      </c>
      <c r="N739" s="384">
        <f>VLOOKUP($A739,'8.Non-elective admissions - CCG'!$D$5:$N$215,7,0)*$H739</f>
        <v>5872.2287723903119</v>
      </c>
      <c r="O739" s="384">
        <f>VLOOKUP($A739,'8.Non-elective admissions - CCG'!$D$5:$N$215,8,0)*$H739</f>
        <v>5823.582689320624</v>
      </c>
      <c r="P739" s="384">
        <f>VLOOKUP($A739,'8.Non-elective admissions - CCG'!$D$5:$N$215,9,0)*$H739</f>
        <v>5799.6266054847001</v>
      </c>
      <c r="Q739" s="384">
        <f>VLOOKUP($A739,'8.Non-elective admissions - CCG'!$D$5:$N$215,10,0)*$H739</f>
        <v>5813.2121424176603</v>
      </c>
      <c r="R739" s="384">
        <f>VLOOKUP($A739,'8.Non-elective admissions - CCG'!$D$5:$Q$215,11,0)*$H739</f>
        <v>6092.3555842901487</v>
      </c>
      <c r="S739" s="384">
        <f>VLOOKUP($A739,'8.Non-elective admissions - CCG'!$D$5:$Q$215,12,0)*$H739</f>
        <v>6041.9328016889467</v>
      </c>
      <c r="T739" s="384">
        <f>VLOOKUP($A739,'8.Non-elective admissions - CCG'!$D$5:$Q$215,13,0)*$H739</f>
        <v>6017.2428219826652</v>
      </c>
      <c r="U739" s="384">
        <f>VLOOKUP($A739,'8.Non-elective admissions - CCG'!$D$5:$Q$215,14,0)*$H739</f>
        <v>6031.4512749412052</v>
      </c>
    </row>
    <row r="740" spans="1:21">
      <c r="A740" s="395" t="s">
        <v>580</v>
      </c>
      <c r="B740" s="395" t="s">
        <v>1222</v>
      </c>
      <c r="C740" s="395" t="s">
        <v>759</v>
      </c>
      <c r="D740" s="395" t="s">
        <v>393</v>
      </c>
      <c r="E740" s="537">
        <f>COUNTIF($D$5:D740,D740)</f>
        <v>7</v>
      </c>
      <c r="F740" s="537" t="str">
        <f t="shared" si="22"/>
        <v>Shropshire7</v>
      </c>
      <c r="G740" s="541" t="str">
        <f t="shared" si="23"/>
        <v>NHS Telford and Wrekin CCG</v>
      </c>
      <c r="H740" s="546">
        <v>2.3539916623537643E-2</v>
      </c>
      <c r="I740" s="546">
        <v>1.3866832840841323E-2</v>
      </c>
      <c r="J740" s="384">
        <f>VLOOKUP($A740,'8.Non-elective admissions - CCG'!$D$5:$N$215,3,0)*$H740</f>
        <v>96.8667569058574</v>
      </c>
      <c r="K740" s="384">
        <f>VLOOKUP($A740,'8.Non-elective admissions - CCG'!$D$5:$N$215,4,0)*$H740</f>
        <v>95.642681241433436</v>
      </c>
      <c r="L740" s="384">
        <f>VLOOKUP($A740,'8.Non-elective admissions - CCG'!$D$5:$N$215,5,0)*$H740</f>
        <v>105.85900505604877</v>
      </c>
      <c r="M740" s="384">
        <f>VLOOKUP($A740,'8.Non-elective admissions - CCG'!$D$5:$N$215,6,0)*$H740</f>
        <v>103.69333272668331</v>
      </c>
      <c r="N740" s="384">
        <f>VLOOKUP($A740,'8.Non-elective admissions - CCG'!$D$5:$N$215,7,0)*$H740</f>
        <v>89.169204169960594</v>
      </c>
      <c r="O740" s="384">
        <f>VLOOKUP($A740,'8.Non-elective admissions - CCG'!$D$5:$N$215,8,0)*$H740</f>
        <v>90.440359667631625</v>
      </c>
      <c r="P740" s="384">
        <f>VLOOKUP($A740,'8.Non-elective admissions - CCG'!$D$5:$N$215,9,0)*$H740</f>
        <v>96.137019490527734</v>
      </c>
      <c r="Q740" s="384">
        <f>VLOOKUP($A740,'8.Non-elective admissions - CCG'!$D$5:$N$215,10,0)*$H740</f>
        <v>98.279151903269664</v>
      </c>
      <c r="R740" s="384">
        <f>VLOOKUP($A740,'8.Non-elective admissions - CCG'!$D$5:$Q$215,11,0)*$H740</f>
        <v>76.669508442862096</v>
      </c>
      <c r="S740" s="384">
        <f>VLOOKUP($A740,'8.Non-elective admissions - CCG'!$D$5:$Q$215,12,0)*$H740</f>
        <v>77.822964357415444</v>
      </c>
      <c r="T740" s="384">
        <f>VLOOKUP($A740,'8.Non-elective admissions - CCG'!$D$5:$Q$215,13,0)*$H740</f>
        <v>82.672187181864203</v>
      </c>
      <c r="U740" s="384">
        <f>VLOOKUP($A740,'8.Non-elective admissions - CCG'!$D$5:$Q$215,14,0)*$H740</f>
        <v>84.414141012005985</v>
      </c>
    </row>
    <row r="741" spans="1:21">
      <c r="A741" s="395" t="s">
        <v>580</v>
      </c>
      <c r="B741" s="395" t="s">
        <v>1222</v>
      </c>
      <c r="C741" s="395" t="s">
        <v>769</v>
      </c>
      <c r="D741" s="395" t="s">
        <v>423</v>
      </c>
      <c r="E741" s="537">
        <f>COUNTIF($D$5:D741,D741)</f>
        <v>14</v>
      </c>
      <c r="F741" s="537" t="str">
        <f t="shared" si="22"/>
        <v>Staffordshire14</v>
      </c>
      <c r="G741" s="541" t="str">
        <f t="shared" si="23"/>
        <v>NHS Telford and Wrekin CCG</v>
      </c>
      <c r="H741" s="546">
        <v>9.9130405109509809E-3</v>
      </c>
      <c r="I741" s="546">
        <v>2.004203883763074E-3</v>
      </c>
      <c r="J741" s="384">
        <f>VLOOKUP($A741,'8.Non-elective admissions - CCG'!$D$5:$N$215,3,0)*$H741</f>
        <v>40.792161702563284</v>
      </c>
      <c r="K741" s="384">
        <f>VLOOKUP($A741,'8.Non-elective admissions - CCG'!$D$5:$N$215,4,0)*$H741</f>
        <v>40.276683595993838</v>
      </c>
      <c r="L741" s="384">
        <f>VLOOKUP($A741,'8.Non-elective admissions - CCG'!$D$5:$N$215,5,0)*$H741</f>
        <v>44.578943177746559</v>
      </c>
      <c r="M741" s="384">
        <f>VLOOKUP($A741,'8.Non-elective admissions - CCG'!$D$5:$N$215,6,0)*$H741</f>
        <v>43.666943450739069</v>
      </c>
      <c r="N741" s="384">
        <f>VLOOKUP($A741,'8.Non-elective admissions - CCG'!$D$5:$N$215,7,0)*$H741</f>
        <v>37.550597455482318</v>
      </c>
      <c r="O741" s="384">
        <f>VLOOKUP($A741,'8.Non-elective admissions - CCG'!$D$5:$N$215,8,0)*$H741</f>
        <v>38.085901643073669</v>
      </c>
      <c r="P741" s="384">
        <f>VLOOKUP($A741,'8.Non-elective admissions - CCG'!$D$5:$N$215,9,0)*$H741</f>
        <v>40.484857446723808</v>
      </c>
      <c r="Q741" s="384">
        <f>VLOOKUP($A741,'8.Non-elective admissions - CCG'!$D$5:$N$215,10,0)*$H741</f>
        <v>41.386944133220346</v>
      </c>
      <c r="R741" s="384">
        <f>VLOOKUP($A741,'8.Non-elective admissions - CCG'!$D$5:$Q$215,11,0)*$H741</f>
        <v>32.286772944167346</v>
      </c>
      <c r="S741" s="384">
        <f>VLOOKUP($A741,'8.Non-elective admissions - CCG'!$D$5:$Q$215,12,0)*$H741</f>
        <v>32.772511929203944</v>
      </c>
      <c r="T741" s="384">
        <f>VLOOKUP($A741,'8.Non-elective admissions - CCG'!$D$5:$Q$215,13,0)*$H741</f>
        <v>34.814598274459847</v>
      </c>
      <c r="U741" s="384">
        <f>VLOOKUP($A741,'8.Non-elective admissions - CCG'!$D$5:$Q$215,14,0)*$H741</f>
        <v>35.548163272270216</v>
      </c>
    </row>
    <row r="742" spans="1:21">
      <c r="A742" s="395" t="s">
        <v>580</v>
      </c>
      <c r="B742" s="395" t="s">
        <v>1222</v>
      </c>
      <c r="C742" s="395" t="s">
        <v>779</v>
      </c>
      <c r="D742" s="395" t="s">
        <v>453</v>
      </c>
      <c r="E742" s="537">
        <f>COUNTIF($D$5:D742,D742)</f>
        <v>2</v>
      </c>
      <c r="F742" s="537" t="str">
        <f t="shared" si="22"/>
        <v>Telford and Wrekin2</v>
      </c>
      <c r="G742" s="541" t="str">
        <f t="shared" si="23"/>
        <v>NHS Telford and Wrekin CCG</v>
      </c>
      <c r="H742" s="546">
        <v>0.96654704286551152</v>
      </c>
      <c r="I742" s="546">
        <v>0.96974590439888375</v>
      </c>
      <c r="J742" s="384">
        <f>VLOOKUP($A742,'8.Non-elective admissions - CCG'!$D$5:$N$215,3,0)*$H742</f>
        <v>3977.3410813915798</v>
      </c>
      <c r="K742" s="384">
        <f>VLOOKUP($A742,'8.Non-elective admissions - CCG'!$D$5:$N$215,4,0)*$H742</f>
        <v>3927.0806351625733</v>
      </c>
      <c r="L742" s="384">
        <f>VLOOKUP($A742,'8.Non-elective admissions - CCG'!$D$5:$N$215,5,0)*$H742</f>
        <v>4346.5620517662055</v>
      </c>
      <c r="M742" s="384">
        <f>VLOOKUP($A742,'8.Non-elective admissions - CCG'!$D$5:$N$215,6,0)*$H742</f>
        <v>4257.6397238225782</v>
      </c>
      <c r="N742" s="384">
        <f>VLOOKUP($A742,'8.Non-elective admissions - CCG'!$D$5:$N$215,7,0)*$H742</f>
        <v>3661.2801983745576</v>
      </c>
      <c r="O742" s="384">
        <f>VLOOKUP($A742,'8.Non-elective admissions - CCG'!$D$5:$N$215,8,0)*$H742</f>
        <v>3713.4737386892953</v>
      </c>
      <c r="P742" s="384">
        <f>VLOOKUP($A742,'8.Non-elective admissions - CCG'!$D$5:$N$215,9,0)*$H742</f>
        <v>3947.3781230627492</v>
      </c>
      <c r="Q742" s="384">
        <f>VLOOKUP($A742,'8.Non-elective admissions - CCG'!$D$5:$N$215,10,0)*$H742</f>
        <v>4035.3339039635107</v>
      </c>
      <c r="R742" s="384">
        <f>VLOOKUP($A742,'8.Non-elective admissions - CCG'!$D$5:$Q$215,11,0)*$H742</f>
        <v>3148.0437186129711</v>
      </c>
      <c r="S742" s="384">
        <f>VLOOKUP($A742,'8.Non-elective admissions - CCG'!$D$5:$Q$215,12,0)*$H742</f>
        <v>3195.404523713381</v>
      </c>
      <c r="T742" s="384">
        <f>VLOOKUP($A742,'8.Non-elective admissions - CCG'!$D$5:$Q$215,13,0)*$H742</f>
        <v>3394.5132145436764</v>
      </c>
      <c r="U742" s="384">
        <f>VLOOKUP($A742,'8.Non-elective admissions - CCG'!$D$5:$Q$215,14,0)*$H742</f>
        <v>3466.0376957157241</v>
      </c>
    </row>
    <row r="743" spans="1:21">
      <c r="A743" s="395" t="s">
        <v>582</v>
      </c>
      <c r="B743" s="395" t="s">
        <v>581</v>
      </c>
      <c r="C743" s="395" t="s">
        <v>712</v>
      </c>
      <c r="D743" s="395" t="s">
        <v>252</v>
      </c>
      <c r="E743" s="537">
        <f>COUNTIF($D$5:D743,D743)</f>
        <v>13</v>
      </c>
      <c r="F743" s="537" t="str">
        <f t="shared" si="22"/>
        <v>Kent13</v>
      </c>
      <c r="G743" s="541" t="str">
        <f t="shared" si="23"/>
        <v>NHS Thanet CCG</v>
      </c>
      <c r="H743" s="546">
        <v>1</v>
      </c>
      <c r="I743" s="546">
        <v>9.3101225100179458E-2</v>
      </c>
      <c r="J743" s="384">
        <f>VLOOKUP($A743,'8.Non-elective admissions - CCG'!$D$5:$N$215,3,0)*$H743</f>
        <v>4098</v>
      </c>
      <c r="K743" s="384">
        <f>VLOOKUP($A743,'8.Non-elective admissions - CCG'!$D$5:$N$215,4,0)*$H743</f>
        <v>4056</v>
      </c>
      <c r="L743" s="384">
        <f>VLOOKUP($A743,'8.Non-elective admissions - CCG'!$D$5:$N$215,5,0)*$H743</f>
        <v>3837</v>
      </c>
      <c r="M743" s="384">
        <f>VLOOKUP($A743,'8.Non-elective admissions - CCG'!$D$5:$N$215,6,0)*$H743</f>
        <v>4037</v>
      </c>
      <c r="N743" s="384">
        <f>VLOOKUP($A743,'8.Non-elective admissions - CCG'!$D$5:$N$215,7,0)*$H743</f>
        <v>4204.0775557070001</v>
      </c>
      <c r="O743" s="384">
        <f>VLOOKUP($A743,'8.Non-elective admissions - CCG'!$D$5:$N$215,8,0)*$H743</f>
        <v>4251.2480707510003</v>
      </c>
      <c r="P743" s="384">
        <f>VLOOKUP($A743,'8.Non-elective admissions - CCG'!$D$5:$N$215,9,0)*$H743</f>
        <v>4200.2480707510003</v>
      </c>
      <c r="Q743" s="384">
        <f>VLOOKUP($A743,'8.Non-elective admissions - CCG'!$D$5:$N$215,10,0)*$H743</f>
        <v>4035.8636882550004</v>
      </c>
      <c r="R743" s="384">
        <f>VLOOKUP($A743,'8.Non-elective admissions - CCG'!$D$5:$Q$215,11,0)*$H743</f>
        <v>4125.0775557070001</v>
      </c>
      <c r="S743" s="384">
        <f>VLOOKUP($A743,'8.Non-elective admissions - CCG'!$D$5:$Q$215,12,0)*$H743</f>
        <v>3994.2480707510003</v>
      </c>
      <c r="T743" s="384">
        <f>VLOOKUP($A743,'8.Non-elective admissions - CCG'!$D$5:$Q$215,13,0)*$H743</f>
        <v>3880.2480707509999</v>
      </c>
      <c r="U743" s="384">
        <f>VLOOKUP($A743,'8.Non-elective admissions - CCG'!$D$5:$Q$215,14,0)*$H743</f>
        <v>3791.8636882550004</v>
      </c>
    </row>
    <row r="744" spans="1:21">
      <c r="A744" s="395" t="s">
        <v>584</v>
      </c>
      <c r="B744" s="395" t="s">
        <v>583</v>
      </c>
      <c r="C744" s="395" t="s">
        <v>692</v>
      </c>
      <c r="D744" s="395" t="s">
        <v>180</v>
      </c>
      <c r="E744" s="537">
        <f>COUNTIF($D$5:D744,D744)</f>
        <v>11</v>
      </c>
      <c r="F744" s="537" t="str">
        <f t="shared" si="22"/>
        <v>Essex11</v>
      </c>
      <c r="G744" s="541" t="str">
        <f t="shared" si="23"/>
        <v>NHS Thurrock CCG</v>
      </c>
      <c r="H744" s="546">
        <v>1.4591066938091249E-2</v>
      </c>
      <c r="I744" s="546">
        <v>1.6551838429062773E-3</v>
      </c>
      <c r="J744" s="384">
        <f>VLOOKUP($A744,'8.Non-elective admissions - CCG'!$D$5:$N$215,3,0)*$H744</f>
        <v>49.755538258891157</v>
      </c>
      <c r="K744" s="384">
        <f>VLOOKUP($A744,'8.Non-elective admissions - CCG'!$D$5:$N$215,4,0)*$H744</f>
        <v>51.75451442940966</v>
      </c>
      <c r="L744" s="384">
        <f>VLOOKUP($A744,'8.Non-elective admissions - CCG'!$D$5:$N$215,5,0)*$H744</f>
        <v>48.354795832834398</v>
      </c>
      <c r="M744" s="384">
        <f>VLOOKUP($A744,'8.Non-elective admissions - CCG'!$D$5:$N$215,6,0)*$H744</f>
        <v>50.543455873548083</v>
      </c>
      <c r="N744" s="384">
        <f>VLOOKUP($A744,'8.Non-elective admissions - CCG'!$D$5:$N$215,7,0)*$H744</f>
        <v>50.880521843622809</v>
      </c>
      <c r="O744" s="384">
        <f>VLOOKUP($A744,'8.Non-elective admissions - CCG'!$D$5:$N$215,8,0)*$H744</f>
        <v>51.338377583788535</v>
      </c>
      <c r="P744" s="384">
        <f>VLOOKUP($A744,'8.Non-elective admissions - CCG'!$D$5:$N$215,9,0)*$H744</f>
        <v>51.239898379630851</v>
      </c>
      <c r="Q744" s="384">
        <f>VLOOKUP($A744,'8.Non-elective admissions - CCG'!$D$5:$N$215,10,0)*$H744</f>
        <v>50.44674853518088</v>
      </c>
      <c r="R744" s="384">
        <f>VLOOKUP($A744,'8.Non-elective admissions - CCG'!$D$5:$Q$215,11,0)*$H744</f>
        <v>50.979002374546212</v>
      </c>
      <c r="S744" s="384">
        <f>VLOOKUP($A744,'8.Non-elective admissions - CCG'!$D$5:$Q$215,12,0)*$H744</f>
        <v>51.421278265008489</v>
      </c>
      <c r="T744" s="384">
        <f>VLOOKUP($A744,'8.Non-elective admissions - CCG'!$D$5:$Q$215,13,0)*$H744</f>
        <v>51.321825043180041</v>
      </c>
      <c r="U744" s="384">
        <f>VLOOKUP($A744,'8.Non-elective admissions - CCG'!$D$5:$Q$215,14,0)*$H744</f>
        <v>50.517070776101669</v>
      </c>
    </row>
    <row r="745" spans="1:21">
      <c r="A745" s="395" t="s">
        <v>584</v>
      </c>
      <c r="B745" s="395" t="s">
        <v>583</v>
      </c>
      <c r="C745" s="395" t="s">
        <v>703</v>
      </c>
      <c r="D745" s="395" t="s">
        <v>219</v>
      </c>
      <c r="E745" s="537">
        <f>COUNTIF($D$5:D745,D745)</f>
        <v>4</v>
      </c>
      <c r="F745" s="537" t="str">
        <f t="shared" si="22"/>
        <v>Havering4</v>
      </c>
      <c r="G745" s="541" t="str">
        <f t="shared" si="23"/>
        <v>NHS Thurrock CCG</v>
      </c>
      <c r="H745" s="546">
        <v>1.2872709855107174E-3</v>
      </c>
      <c r="I745" s="546">
        <v>0</v>
      </c>
      <c r="J745" s="384">
        <f>VLOOKUP($A745,'8.Non-elective admissions - CCG'!$D$5:$N$215,3,0)*$H745</f>
        <v>4.3895940605915467</v>
      </c>
      <c r="K745" s="384">
        <f>VLOOKUP($A745,'8.Non-elective admissions - CCG'!$D$5:$N$215,4,0)*$H745</f>
        <v>4.565950185606515</v>
      </c>
      <c r="L745" s="384">
        <f>VLOOKUP($A745,'8.Non-elective admissions - CCG'!$D$5:$N$215,5,0)*$H745</f>
        <v>4.2660160459825178</v>
      </c>
      <c r="M745" s="384">
        <f>VLOOKUP($A745,'8.Non-elective admissions - CCG'!$D$5:$N$215,6,0)*$H745</f>
        <v>4.4591066938091251</v>
      </c>
      <c r="N745" s="384">
        <f>VLOOKUP($A745,'8.Non-elective admissions - CCG'!$D$5:$N$215,7,0)*$H745</f>
        <v>4.4888437408202311</v>
      </c>
      <c r="O745" s="384">
        <f>VLOOKUP($A745,'8.Non-elective admissions - CCG'!$D$5:$N$215,8,0)*$H745</f>
        <v>4.5292372509292305</v>
      </c>
      <c r="P745" s="384">
        <f>VLOOKUP($A745,'8.Non-elective admissions - CCG'!$D$5:$N$215,9,0)*$H745</f>
        <v>4.5205490979157297</v>
      </c>
      <c r="Q745" s="384">
        <f>VLOOKUP($A745,'8.Non-elective admissions - CCG'!$D$5:$N$215,10,0)*$H745</f>
        <v>4.4505748605104181</v>
      </c>
      <c r="R745" s="384">
        <f>VLOOKUP($A745,'8.Non-elective admissions - CCG'!$D$5:$Q$215,11,0)*$H745</f>
        <v>4.4975320108852834</v>
      </c>
      <c r="S745" s="384">
        <f>VLOOKUP($A745,'8.Non-elective admissions - CCG'!$D$5:$Q$215,12,0)*$H745</f>
        <v>4.5365510164041138</v>
      </c>
      <c r="T745" s="384">
        <f>VLOOKUP($A745,'8.Non-elective admissions - CCG'!$D$5:$Q$215,13,0)*$H745</f>
        <v>4.5277769324102213</v>
      </c>
      <c r="U745" s="384">
        <f>VLOOKUP($A745,'8.Non-elective admissions - CCG'!$D$5:$Q$215,14,0)*$H745</f>
        <v>4.4567789154131541</v>
      </c>
    </row>
    <row r="746" spans="1:21">
      <c r="A746" s="395" t="s">
        <v>584</v>
      </c>
      <c r="B746" s="395" t="s">
        <v>583</v>
      </c>
      <c r="C746" s="395" t="s">
        <v>780</v>
      </c>
      <c r="D746" s="395" t="s">
        <v>456</v>
      </c>
      <c r="E746" s="537">
        <f>COUNTIF($D$5:D746,D746)</f>
        <v>4</v>
      </c>
      <c r="F746" s="537" t="str">
        <f t="shared" si="22"/>
        <v>Thurrock4</v>
      </c>
      <c r="G746" s="541" t="str">
        <f t="shared" si="23"/>
        <v>NHS Thurrock CCG</v>
      </c>
      <c r="H746" s="546">
        <v>0.98412166207639817</v>
      </c>
      <c r="I746" s="546">
        <v>0.99434372031965534</v>
      </c>
      <c r="J746" s="384">
        <f>VLOOKUP($A746,'8.Non-elective admissions - CCG'!$D$5:$N$215,3,0)*$H746</f>
        <v>3355.8548676805176</v>
      </c>
      <c r="K746" s="384">
        <f>VLOOKUP($A746,'8.Non-elective admissions - CCG'!$D$5:$N$215,4,0)*$H746</f>
        <v>3490.6795353849843</v>
      </c>
      <c r="L746" s="384">
        <f>VLOOKUP($A746,'8.Non-elective admissions - CCG'!$D$5:$N$215,5,0)*$H746</f>
        <v>3261.3791881211837</v>
      </c>
      <c r="M746" s="384">
        <f>VLOOKUP($A746,'8.Non-elective admissions - CCG'!$D$5:$N$215,6,0)*$H746</f>
        <v>3408.9974374326434</v>
      </c>
      <c r="N746" s="384">
        <f>VLOOKUP($A746,'8.Non-elective admissions - CCG'!$D$5:$N$215,7,0)*$H746</f>
        <v>3431.7314790285573</v>
      </c>
      <c r="O746" s="384">
        <f>VLOOKUP($A746,'8.Non-elective admissions - CCG'!$D$5:$N$215,8,0)*$H746</f>
        <v>3462.6124114452828</v>
      </c>
      <c r="P746" s="384">
        <f>VLOOKUP($A746,'8.Non-elective admissions - CCG'!$D$5:$N$215,9,0)*$H746</f>
        <v>3455.970298261454</v>
      </c>
      <c r="Q746" s="384">
        <f>VLOOKUP($A746,'8.Non-elective admissions - CCG'!$D$5:$N$215,10,0)*$H746</f>
        <v>3402.4748310343089</v>
      </c>
      <c r="R746" s="384">
        <f>VLOOKUP($A746,'8.Non-elective admissions - CCG'!$D$5:$Q$215,11,0)*$H746</f>
        <v>3438.3736816985688</v>
      </c>
      <c r="S746" s="384">
        <f>VLOOKUP($A746,'8.Non-elective admissions - CCG'!$D$5:$Q$215,12,0)*$H746</f>
        <v>3468.2038021595877</v>
      </c>
      <c r="T746" s="384">
        <f>VLOOKUP($A746,'8.Non-elective admissions - CCG'!$D$5:$Q$215,13,0)*$H746</f>
        <v>3461.4959945414103</v>
      </c>
      <c r="U746" s="384">
        <f>VLOOKUP($A746,'8.Non-elective admissions - CCG'!$D$5:$Q$215,14,0)*$H746</f>
        <v>3407.2178454354857</v>
      </c>
    </row>
    <row r="747" spans="1:21">
      <c r="A747" s="395" t="s">
        <v>586</v>
      </c>
      <c r="B747" s="395" t="s">
        <v>585</v>
      </c>
      <c r="C747" s="395" t="s">
        <v>675</v>
      </c>
      <c r="D747" s="395" t="s">
        <v>117</v>
      </c>
      <c r="E747" s="537">
        <f>COUNTIF($D$5:D747,D747)</f>
        <v>5</v>
      </c>
      <c r="F747" s="537" t="str">
        <f t="shared" si="22"/>
        <v>City of London5</v>
      </c>
      <c r="G747" s="541" t="str">
        <f t="shared" si="23"/>
        <v>NHS Tower Hamlets CCG</v>
      </c>
      <c r="H747" s="546">
        <v>3.6931540512992363E-3</v>
      </c>
      <c r="I747" s="546">
        <v>0.14583046175051689</v>
      </c>
      <c r="J747" s="384">
        <f>VLOOKUP($A747,'8.Non-elective admissions - CCG'!$D$5:$N$215,3,0)*$H747</f>
        <v>20.714901073737416</v>
      </c>
      <c r="K747" s="384">
        <f>VLOOKUP($A747,'8.Non-elective admissions - CCG'!$D$5:$N$215,4,0)*$H747</f>
        <v>18.709518423881931</v>
      </c>
      <c r="L747" s="384">
        <f>VLOOKUP($A747,'8.Non-elective admissions - CCG'!$D$5:$N$215,5,0)*$H747</f>
        <v>20.031667574247056</v>
      </c>
      <c r="M747" s="384">
        <f>VLOOKUP($A747,'8.Non-elective admissions - CCG'!$D$5:$N$215,6,0)*$H747</f>
        <v>18.484236026752679</v>
      </c>
      <c r="N747" s="384">
        <f>VLOOKUP($A747,'8.Non-elective admissions - CCG'!$D$5:$N$215,7,0)*$H747</f>
        <v>20.290188357838005</v>
      </c>
      <c r="O747" s="384">
        <f>VLOOKUP($A747,'8.Non-elective admissions - CCG'!$D$5:$N$215,8,0)*$H747</f>
        <v>18.052137002750666</v>
      </c>
      <c r="P747" s="384">
        <f>VLOOKUP($A747,'8.Non-elective admissions - CCG'!$D$5:$N$215,9,0)*$H747</f>
        <v>19.304116226141108</v>
      </c>
      <c r="Q747" s="384">
        <f>VLOOKUP($A747,'8.Non-elective admissions - CCG'!$D$5:$N$215,10,0)*$H747</f>
        <v>17.479698124799285</v>
      </c>
      <c r="R747" s="384">
        <f>VLOOKUP($A747,'8.Non-elective admissions - CCG'!$D$5:$Q$215,11,0)*$H747</f>
        <v>20.766605230455607</v>
      </c>
      <c r="S747" s="384">
        <f>VLOOKUP($A747,'8.Non-elective admissions - CCG'!$D$5:$Q$215,12,0)*$H747</f>
        <v>18.473156564598781</v>
      </c>
      <c r="T747" s="384">
        <f>VLOOKUP($A747,'8.Non-elective admissions - CCG'!$D$5:$Q$215,13,0)*$H747</f>
        <v>19.758374174450914</v>
      </c>
      <c r="U747" s="384">
        <f>VLOOKUP($A747,'8.Non-elective admissions - CCG'!$D$5:$Q$215,14,0)*$H747</f>
        <v>17.885945070442201</v>
      </c>
    </row>
    <row r="748" spans="1:21">
      <c r="A748" s="395" t="s">
        <v>586</v>
      </c>
      <c r="B748" s="395" t="s">
        <v>585</v>
      </c>
      <c r="C748" s="395" t="s">
        <v>696</v>
      </c>
      <c r="D748" s="395" t="s">
        <v>195</v>
      </c>
      <c r="E748" s="537">
        <f>COUNTIF($D$5:D748,D748)</f>
        <v>6</v>
      </c>
      <c r="F748" s="537" t="str">
        <f t="shared" si="22"/>
        <v>Hackney6</v>
      </c>
      <c r="G748" s="541" t="str">
        <f t="shared" si="23"/>
        <v>NHS Tower Hamlets CCG</v>
      </c>
      <c r="H748" s="546">
        <v>4.8520643963194127E-3</v>
      </c>
      <c r="I748" s="546">
        <v>5.0290709243721787E-3</v>
      </c>
      <c r="J748" s="384">
        <f>VLOOKUP($A748,'8.Non-elective admissions - CCG'!$D$5:$N$215,3,0)*$H748</f>
        <v>27.215229198955587</v>
      </c>
      <c r="K748" s="384">
        <f>VLOOKUP($A748,'8.Non-elective admissions - CCG'!$D$5:$N$215,4,0)*$H748</f>
        <v>24.580558231754146</v>
      </c>
      <c r="L748" s="384">
        <f>VLOOKUP($A748,'8.Non-elective admissions - CCG'!$D$5:$N$215,5,0)*$H748</f>
        <v>26.317597285636495</v>
      </c>
      <c r="M748" s="384">
        <f>VLOOKUP($A748,'8.Non-elective admissions - CCG'!$D$5:$N$215,6,0)*$H748</f>
        <v>24.284582303578659</v>
      </c>
      <c r="N748" s="384">
        <f>VLOOKUP($A748,'8.Non-elective admissions - CCG'!$D$5:$N$215,7,0)*$H748</f>
        <v>26.657241793378855</v>
      </c>
      <c r="O748" s="384">
        <f>VLOOKUP($A748,'8.Non-elective admissions - CCG'!$D$5:$N$215,8,0)*$H748</f>
        <v>23.716890769209289</v>
      </c>
      <c r="P748" s="384">
        <f>VLOOKUP($A748,'8.Non-elective admissions - CCG'!$D$5:$N$215,9,0)*$H748</f>
        <v>25.361740599561571</v>
      </c>
      <c r="Q748" s="384">
        <f>VLOOKUP($A748,'8.Non-elective admissions - CCG'!$D$5:$N$215,10,0)*$H748</f>
        <v>22.964820787779779</v>
      </c>
      <c r="R748" s="384">
        <f>VLOOKUP($A748,'8.Non-elective admissions - CCG'!$D$5:$Q$215,11,0)*$H748</f>
        <v>27.283158100504057</v>
      </c>
      <c r="S748" s="384">
        <f>VLOOKUP($A748,'8.Non-elective admissions - CCG'!$D$5:$Q$215,12,0)*$H748</f>
        <v>24.270026110389704</v>
      </c>
      <c r="T748" s="384">
        <f>VLOOKUP($A748,'8.Non-elective admissions - CCG'!$D$5:$Q$215,13,0)*$H748</f>
        <v>25.958544520308859</v>
      </c>
      <c r="U748" s="384">
        <f>VLOOKUP($A748,'8.Non-elective admissions - CCG'!$D$5:$Q$215,14,0)*$H748</f>
        <v>23.498547871374917</v>
      </c>
    </row>
    <row r="749" spans="1:21">
      <c r="A749" s="395" t="s">
        <v>586</v>
      </c>
      <c r="B749" s="395" t="s">
        <v>585</v>
      </c>
      <c r="C749" s="395" t="s">
        <v>732</v>
      </c>
      <c r="D749" s="395" t="s">
        <v>312</v>
      </c>
      <c r="E749" s="537">
        <f>COUNTIF($D$5:D749,D749)</f>
        <v>4</v>
      </c>
      <c r="F749" s="537" t="str">
        <f t="shared" si="22"/>
        <v>Newham4</v>
      </c>
      <c r="G749" s="541" t="str">
        <f t="shared" si="23"/>
        <v>NHS Tower Hamlets CCG</v>
      </c>
      <c r="H749" s="546">
        <v>1.4800541755679358E-3</v>
      </c>
      <c r="I749" s="546">
        <v>1.1709795907094919E-3</v>
      </c>
      <c r="J749" s="384">
        <f>VLOOKUP($A749,'8.Non-elective admissions - CCG'!$D$5:$N$215,3,0)*$H749</f>
        <v>8.3016238707605527</v>
      </c>
      <c r="K749" s="384">
        <f>VLOOKUP($A749,'8.Non-elective admissions - CCG'!$D$5:$N$215,4,0)*$H749</f>
        <v>7.4979544534271625</v>
      </c>
      <c r="L749" s="384">
        <f>VLOOKUP($A749,'8.Non-elective admissions - CCG'!$D$5:$N$215,5,0)*$H749</f>
        <v>8.0278138482804842</v>
      </c>
      <c r="M749" s="384">
        <f>VLOOKUP($A749,'8.Non-elective admissions - CCG'!$D$5:$N$215,6,0)*$H749</f>
        <v>7.4076711487175189</v>
      </c>
      <c r="N749" s="384">
        <f>VLOOKUP($A749,'8.Non-elective admissions - CCG'!$D$5:$N$215,7,0)*$H749</f>
        <v>8.1314176405702394</v>
      </c>
      <c r="O749" s="384">
        <f>VLOOKUP($A749,'8.Non-elective admissions - CCG'!$D$5:$N$215,8,0)*$H749</f>
        <v>7.2345048101760705</v>
      </c>
      <c r="P749" s="384">
        <f>VLOOKUP($A749,'8.Non-elective admissions - CCG'!$D$5:$N$215,9,0)*$H749</f>
        <v>7.7362431756936001</v>
      </c>
      <c r="Q749" s="384">
        <f>VLOOKUP($A749,'8.Non-elective admissions - CCG'!$D$5:$N$215,10,0)*$H749</f>
        <v>7.0050964129630398</v>
      </c>
      <c r="R749" s="384">
        <f>VLOOKUP($A749,'8.Non-elective admissions - CCG'!$D$5:$Q$215,11,0)*$H749</f>
        <v>8.3223446292185024</v>
      </c>
      <c r="S749" s="384">
        <f>VLOOKUP($A749,'8.Non-elective admissions - CCG'!$D$5:$Q$215,12,0)*$H749</f>
        <v>7.403230986190815</v>
      </c>
      <c r="T749" s="384">
        <f>VLOOKUP($A749,'8.Non-elective admissions - CCG'!$D$5:$Q$215,13,0)*$H749</f>
        <v>7.9182898392884562</v>
      </c>
      <c r="U749" s="384">
        <f>VLOOKUP($A749,'8.Non-elective admissions - CCG'!$D$5:$Q$215,14,0)*$H749</f>
        <v>7.1679023722755133</v>
      </c>
    </row>
    <row r="750" spans="1:21">
      <c r="A750" s="395" t="s">
        <v>586</v>
      </c>
      <c r="B750" s="395" t="s">
        <v>585</v>
      </c>
      <c r="C750" s="395" t="s">
        <v>782</v>
      </c>
      <c r="D750" s="395" t="s">
        <v>462</v>
      </c>
      <c r="E750" s="537">
        <f>COUNTIF($D$5:D750,D750)</f>
        <v>5</v>
      </c>
      <c r="F750" s="537" t="str">
        <f t="shared" si="22"/>
        <v>Tower Hamlets5</v>
      </c>
      <c r="G750" s="541" t="str">
        <f t="shared" si="23"/>
        <v>NHS Tower Hamlets CCG</v>
      </c>
      <c r="H750" s="546">
        <v>0.98997472737681336</v>
      </c>
      <c r="I750" s="546">
        <v>0.9776582725752796</v>
      </c>
      <c r="J750" s="384">
        <f>VLOOKUP($A750,'8.Non-elective admissions - CCG'!$D$5:$N$215,3,0)*$H750</f>
        <v>5552.7682458565459</v>
      </c>
      <c r="K750" s="384">
        <f>VLOOKUP($A750,'8.Non-elective admissions - CCG'!$D$5:$N$215,4,0)*$H750</f>
        <v>5015.2119688909361</v>
      </c>
      <c r="L750" s="384">
        <f>VLOOKUP($A750,'8.Non-elective admissions - CCG'!$D$5:$N$215,5,0)*$H750</f>
        <v>5369.6229212918361</v>
      </c>
      <c r="M750" s="384">
        <f>VLOOKUP($A750,'8.Non-elective admissions - CCG'!$D$5:$N$215,6,0)*$H750</f>
        <v>4954.8235105209505</v>
      </c>
      <c r="N750" s="384">
        <f>VLOOKUP($A750,'8.Non-elective admissions - CCG'!$D$5:$N$215,7,0)*$H750</f>
        <v>5438.9211522082123</v>
      </c>
      <c r="O750" s="384">
        <f>VLOOKUP($A750,'8.Non-elective admissions - CCG'!$D$5:$N$215,8,0)*$H750</f>
        <v>4838.9964674178636</v>
      </c>
      <c r="P750" s="384">
        <f>VLOOKUP($A750,'8.Non-elective admissions - CCG'!$D$5:$N$215,9,0)*$H750</f>
        <v>5174.5978999986037</v>
      </c>
      <c r="Q750" s="384">
        <f>VLOOKUP($A750,'8.Non-elective admissions - CCG'!$D$5:$N$215,10,0)*$H750</f>
        <v>4685.5503846744577</v>
      </c>
      <c r="R750" s="384">
        <f>VLOOKUP($A750,'8.Non-elective admissions - CCG'!$D$5:$Q$215,11,0)*$H750</f>
        <v>5566.6278920398217</v>
      </c>
      <c r="S750" s="384">
        <f>VLOOKUP($A750,'8.Non-elective admissions - CCG'!$D$5:$Q$215,12,0)*$H750</f>
        <v>4951.8535863388206</v>
      </c>
      <c r="T750" s="384">
        <f>VLOOKUP($A750,'8.Non-elective admissions - CCG'!$D$5:$Q$215,13,0)*$H750</f>
        <v>5296.3647914659514</v>
      </c>
      <c r="U750" s="384">
        <f>VLOOKUP($A750,'8.Non-elective admissions - CCG'!$D$5:$Q$215,14,0)*$H750</f>
        <v>4794.4476046859072</v>
      </c>
    </row>
    <row r="751" spans="1:21">
      <c r="A751" s="395" t="s">
        <v>588</v>
      </c>
      <c r="B751" s="395" t="s">
        <v>587</v>
      </c>
      <c r="C751" s="395" t="s">
        <v>673</v>
      </c>
      <c r="D751" s="395" t="s">
        <v>110</v>
      </c>
      <c r="E751" s="537">
        <f>COUNTIF($D$5:D751,D751)</f>
        <v>7</v>
      </c>
      <c r="F751" s="537" t="str">
        <f t="shared" si="22"/>
        <v>Cheshire East7</v>
      </c>
      <c r="G751" s="541" t="str">
        <f t="shared" si="23"/>
        <v>NHS Trafford CCG</v>
      </c>
      <c r="H751" s="546">
        <v>1.6686401004555051E-3</v>
      </c>
      <c r="I751" s="546">
        <v>1.0192866537797262E-3</v>
      </c>
      <c r="J751" s="384">
        <f>VLOOKUP($A751,'8.Non-elective admissions - CCG'!$D$5:$N$215,3,0)*$H751</f>
        <v>9.5696509761123227</v>
      </c>
      <c r="K751" s="384">
        <f>VLOOKUP($A751,'8.Non-elective admissions - CCG'!$D$5:$N$215,4,0)*$H751</f>
        <v>9.6030237781214325</v>
      </c>
      <c r="L751" s="384">
        <f>VLOOKUP($A751,'8.Non-elective admissions - CCG'!$D$5:$N$215,5,0)*$H751</f>
        <v>9.9050476363038786</v>
      </c>
      <c r="M751" s="384">
        <f>VLOOKUP($A751,'8.Non-elective admissions - CCG'!$D$5:$N$215,6,0)*$H751</f>
        <v>9.3043372001398961</v>
      </c>
      <c r="N751" s="384">
        <f>VLOOKUP($A751,'8.Non-elective admissions - CCG'!$D$5:$N$215,7,0)*$H751</f>
        <v>8.4333070677021222</v>
      </c>
      <c r="O751" s="384">
        <f>VLOOKUP($A751,'8.Non-elective admissions - CCG'!$D$5:$N$215,8,0)*$H751</f>
        <v>8.4616739494098656</v>
      </c>
      <c r="P751" s="384">
        <f>VLOOKUP($A751,'8.Non-elective admissions - CCG'!$D$5:$N$215,9,0)*$H751</f>
        <v>8.4533307489075895</v>
      </c>
      <c r="Q751" s="384">
        <f>VLOOKUP($A751,'8.Non-elective admissions - CCG'!$D$5:$N$215,10,0)*$H751</f>
        <v>8.3949283453916461</v>
      </c>
      <c r="R751" s="384">
        <f>VLOOKUP($A751,'8.Non-elective admissions - CCG'!$D$5:$Q$215,11,0)*$H751</f>
        <v>7.7024427037026113</v>
      </c>
      <c r="S751" s="384">
        <f>VLOOKUP($A751,'8.Non-elective admissions - CCG'!$D$5:$Q$215,12,0)*$H751</f>
        <v>7.7308095854103556</v>
      </c>
      <c r="T751" s="384">
        <f>VLOOKUP($A751,'8.Non-elective admissions - CCG'!$D$5:$Q$215,13,0)*$H751</f>
        <v>7.7224663849080777</v>
      </c>
      <c r="U751" s="384">
        <f>VLOOKUP($A751,'8.Non-elective admissions - CCG'!$D$5:$Q$215,14,0)*$H751</f>
        <v>7.6640639813921352</v>
      </c>
    </row>
    <row r="752" spans="1:21">
      <c r="A752" s="395" t="s">
        <v>588</v>
      </c>
      <c r="B752" s="395" t="s">
        <v>587</v>
      </c>
      <c r="C752" s="395" t="s">
        <v>726</v>
      </c>
      <c r="D752" s="395" t="s">
        <v>294</v>
      </c>
      <c r="E752" s="537">
        <f>COUNTIF($D$5:D752,D752)</f>
        <v>10</v>
      </c>
      <c r="F752" s="537" t="str">
        <f t="shared" si="22"/>
        <v>Manchester10</v>
      </c>
      <c r="G752" s="541" t="str">
        <f t="shared" si="23"/>
        <v>NHS Trafford CCG</v>
      </c>
      <c r="H752" s="546">
        <v>4.4050413156974368E-2</v>
      </c>
      <c r="I752" s="546">
        <v>1.8891758212963277E-2</v>
      </c>
      <c r="J752" s="384">
        <f>VLOOKUP($A752,'8.Non-elective admissions - CCG'!$D$5:$N$215,3,0)*$H752</f>
        <v>252.629119455248</v>
      </c>
      <c r="K752" s="384">
        <f>VLOOKUP($A752,'8.Non-elective admissions - CCG'!$D$5:$N$215,4,0)*$H752</f>
        <v>253.51012771838748</v>
      </c>
      <c r="L752" s="384">
        <f>VLOOKUP($A752,'8.Non-elective admissions - CCG'!$D$5:$N$215,5,0)*$H752</f>
        <v>261.48325249979985</v>
      </c>
      <c r="M752" s="384">
        <f>VLOOKUP($A752,'8.Non-elective admissions - CCG'!$D$5:$N$215,6,0)*$H752</f>
        <v>245.62510376328908</v>
      </c>
      <c r="N752" s="384">
        <f>VLOOKUP($A752,'8.Non-elective admissions - CCG'!$D$5:$N$215,7,0)*$H752</f>
        <v>222.63078809534846</v>
      </c>
      <c r="O752" s="384">
        <f>VLOOKUP($A752,'8.Non-elective admissions - CCG'!$D$5:$N$215,8,0)*$H752</f>
        <v>223.37964511901703</v>
      </c>
      <c r="P752" s="384">
        <f>VLOOKUP($A752,'8.Non-elective admissions - CCG'!$D$5:$N$215,9,0)*$H752</f>
        <v>223.15939305323215</v>
      </c>
      <c r="Q752" s="384">
        <f>VLOOKUP($A752,'8.Non-elective admissions - CCG'!$D$5:$N$215,10,0)*$H752</f>
        <v>221.61762859273804</v>
      </c>
      <c r="R752" s="384">
        <f>VLOOKUP($A752,'8.Non-elective admissions - CCG'!$D$5:$Q$215,11,0)*$H752</f>
        <v>203.33670713259369</v>
      </c>
      <c r="S752" s="384">
        <f>VLOOKUP($A752,'8.Non-elective admissions - CCG'!$D$5:$Q$215,12,0)*$H752</f>
        <v>204.08556415626225</v>
      </c>
      <c r="T752" s="384">
        <f>VLOOKUP($A752,'8.Non-elective admissions - CCG'!$D$5:$Q$215,13,0)*$H752</f>
        <v>203.86531209047737</v>
      </c>
      <c r="U752" s="384">
        <f>VLOOKUP($A752,'8.Non-elective admissions - CCG'!$D$5:$Q$215,14,0)*$H752</f>
        <v>202.32354762998327</v>
      </c>
    </row>
    <row r="753" spans="1:21">
      <c r="A753" s="395" t="s">
        <v>588</v>
      </c>
      <c r="B753" s="395" t="s">
        <v>587</v>
      </c>
      <c r="C753" s="395" t="s">
        <v>755</v>
      </c>
      <c r="D753" s="395" t="s">
        <v>381</v>
      </c>
      <c r="E753" s="537">
        <f>COUNTIF($D$5:D753,D753)</f>
        <v>6</v>
      </c>
      <c r="F753" s="537" t="str">
        <f t="shared" si="22"/>
        <v>Salford6</v>
      </c>
      <c r="G753" s="541" t="str">
        <f t="shared" si="23"/>
        <v>NHS Trafford CCG</v>
      </c>
      <c r="H753" s="546">
        <v>1.4663806943396862E-3</v>
      </c>
      <c r="I753" s="546">
        <v>1.3868409516598255E-3</v>
      </c>
      <c r="J753" s="384">
        <f>VLOOKUP($A753,'8.Non-elective admissions - CCG'!$D$5:$N$215,3,0)*$H753</f>
        <v>8.4096932820381003</v>
      </c>
      <c r="K753" s="384">
        <f>VLOOKUP($A753,'8.Non-elective admissions - CCG'!$D$5:$N$215,4,0)*$H753</f>
        <v>8.4390208959248945</v>
      </c>
      <c r="L753" s="384">
        <f>VLOOKUP($A753,'8.Non-elective admissions - CCG'!$D$5:$N$215,5,0)*$H753</f>
        <v>8.7044358016003773</v>
      </c>
      <c r="M753" s="384">
        <f>VLOOKUP($A753,'8.Non-elective admissions - CCG'!$D$5:$N$215,6,0)*$H753</f>
        <v>8.1765387516380912</v>
      </c>
      <c r="N753" s="384">
        <f>VLOOKUP($A753,'8.Non-elective admissions - CCG'!$D$5:$N$215,7,0)*$H753</f>
        <v>7.4110880291927739</v>
      </c>
      <c r="O753" s="384">
        <f>VLOOKUP($A753,'8.Non-elective admissions - CCG'!$D$5:$N$215,8,0)*$H753</f>
        <v>7.4360165009965487</v>
      </c>
      <c r="P753" s="384">
        <f>VLOOKUP($A753,'8.Non-elective admissions - CCG'!$D$5:$N$215,9,0)*$H753</f>
        <v>7.4286845975248506</v>
      </c>
      <c r="Q753" s="384">
        <f>VLOOKUP($A753,'8.Non-elective admissions - CCG'!$D$5:$N$215,10,0)*$H753</f>
        <v>7.3773612732229612</v>
      </c>
      <c r="R753" s="384">
        <f>VLOOKUP($A753,'8.Non-elective admissions - CCG'!$D$5:$Q$215,11,0)*$H753</f>
        <v>6.7688132850719915</v>
      </c>
      <c r="S753" s="384">
        <f>VLOOKUP($A753,'8.Non-elective admissions - CCG'!$D$5:$Q$215,12,0)*$H753</f>
        <v>6.7937417568757663</v>
      </c>
      <c r="T753" s="384">
        <f>VLOOKUP($A753,'8.Non-elective admissions - CCG'!$D$5:$Q$215,13,0)*$H753</f>
        <v>6.7864098534040682</v>
      </c>
      <c r="U753" s="384">
        <f>VLOOKUP($A753,'8.Non-elective admissions - CCG'!$D$5:$Q$215,14,0)*$H753</f>
        <v>6.7350865291021789</v>
      </c>
    </row>
    <row r="754" spans="1:21">
      <c r="A754" s="395" t="s">
        <v>588</v>
      </c>
      <c r="B754" s="395" t="s">
        <v>587</v>
      </c>
      <c r="C754" s="395" t="s">
        <v>783</v>
      </c>
      <c r="D754" s="395" t="s">
        <v>465</v>
      </c>
      <c r="E754" s="537">
        <f>COUNTIF($D$5:D754,D754)</f>
        <v>4</v>
      </c>
      <c r="F754" s="537" t="str">
        <f t="shared" si="22"/>
        <v>Trafford4</v>
      </c>
      <c r="G754" s="541" t="str">
        <f t="shared" si="23"/>
        <v>NHS Trafford CCG</v>
      </c>
      <c r="H754" s="546">
        <v>0.95281456604823045</v>
      </c>
      <c r="I754" s="546">
        <v>0.93500248097915961</v>
      </c>
      <c r="J754" s="384">
        <f>VLOOKUP($A754,'8.Non-elective admissions - CCG'!$D$5:$N$215,3,0)*$H754</f>
        <v>5464.3915362866019</v>
      </c>
      <c r="K754" s="384">
        <f>VLOOKUP($A754,'8.Non-elective admissions - CCG'!$D$5:$N$215,4,0)*$H754</f>
        <v>5483.4478276075661</v>
      </c>
      <c r="L754" s="384">
        <f>VLOOKUP($A754,'8.Non-elective admissions - CCG'!$D$5:$N$215,5,0)*$H754</f>
        <v>5655.9072640622962</v>
      </c>
      <c r="M754" s="384">
        <f>VLOOKUP($A754,'8.Non-elective admissions - CCG'!$D$5:$N$215,6,0)*$H754</f>
        <v>5312.8940202849326</v>
      </c>
      <c r="N754" s="384">
        <f>VLOOKUP($A754,'8.Non-elective admissions - CCG'!$D$5:$N$215,7,0)*$H754</f>
        <v>4815.5248168077569</v>
      </c>
      <c r="O754" s="384">
        <f>VLOOKUP($A754,'8.Non-elective admissions - CCG'!$D$5:$N$215,8,0)*$H754</f>
        <v>4831.7226644305765</v>
      </c>
      <c r="P754" s="384">
        <f>VLOOKUP($A754,'8.Non-elective admissions - CCG'!$D$5:$N$215,9,0)*$H754</f>
        <v>4826.9585916003352</v>
      </c>
      <c r="Q754" s="384">
        <f>VLOOKUP($A754,'8.Non-elective admissions - CCG'!$D$5:$N$215,10,0)*$H754</f>
        <v>4793.6100817886472</v>
      </c>
      <c r="R754" s="384">
        <f>VLOOKUP($A754,'8.Non-elective admissions - CCG'!$D$5:$Q$215,11,0)*$H754</f>
        <v>4398.1920368786314</v>
      </c>
      <c r="S754" s="384">
        <f>VLOOKUP($A754,'8.Non-elective admissions - CCG'!$D$5:$Q$215,12,0)*$H754</f>
        <v>4414.3898845014519</v>
      </c>
      <c r="T754" s="384">
        <f>VLOOKUP($A754,'8.Non-elective admissions - CCG'!$D$5:$Q$215,13,0)*$H754</f>
        <v>4409.6258116712106</v>
      </c>
      <c r="U754" s="384">
        <f>VLOOKUP($A754,'8.Non-elective admissions - CCG'!$D$5:$Q$215,14,0)*$H754</f>
        <v>4376.2773018595226</v>
      </c>
    </row>
    <row r="755" spans="1:21">
      <c r="A755" s="395" t="s">
        <v>590</v>
      </c>
      <c r="B755" s="395" t="s">
        <v>589</v>
      </c>
      <c r="C755" s="395" t="s">
        <v>689</v>
      </c>
      <c r="D755" s="395" t="s">
        <v>169</v>
      </c>
      <c r="E755" s="537">
        <f>COUNTIF($D$5:D755,D755)</f>
        <v>4</v>
      </c>
      <c r="F755" s="537" t="str">
        <f t="shared" si="22"/>
        <v>East Riding of Yorkshire4</v>
      </c>
      <c r="G755" s="541" t="str">
        <f t="shared" si="23"/>
        <v>NHS Vale of York CCG</v>
      </c>
      <c r="H755" s="546">
        <v>6.4298107573740063E-2</v>
      </c>
      <c r="I755" s="546">
        <v>6.499495982426394E-2</v>
      </c>
      <c r="J755" s="384">
        <f>VLOOKUP($A755,'8.Non-elective admissions - CCG'!$D$5:$N$215,3,0)*$H755</f>
        <v>609.61035790662959</v>
      </c>
      <c r="K755" s="384">
        <f>VLOOKUP($A755,'8.Non-elective admissions - CCG'!$D$5:$N$215,4,0)*$H755</f>
        <v>539.97550740426902</v>
      </c>
      <c r="L755" s="384">
        <f>VLOOKUP($A755,'8.Non-elective admissions - CCG'!$D$5:$N$215,5,0)*$H755</f>
        <v>530.0735988379131</v>
      </c>
      <c r="M755" s="384">
        <f>VLOOKUP($A755,'8.Non-elective admissions - CCG'!$D$5:$N$215,6,0)*$H755</f>
        <v>525.70132752289874</v>
      </c>
      <c r="N755" s="384">
        <f>VLOOKUP($A755,'8.Non-elective admissions - CCG'!$D$5:$N$215,7,0)*$H755</f>
        <v>529.06325031341089</v>
      </c>
      <c r="O755" s="384">
        <f>VLOOKUP($A755,'8.Non-elective admissions - CCG'!$D$5:$N$215,8,0)*$H755</f>
        <v>516.30116262779234</v>
      </c>
      <c r="P755" s="384">
        <f>VLOOKUP($A755,'8.Non-elective admissions - CCG'!$D$5:$N$215,9,0)*$H755</f>
        <v>505.13938737407807</v>
      </c>
      <c r="Q755" s="384">
        <f>VLOOKUP($A755,'8.Non-elective admissions - CCG'!$D$5:$N$215,10,0)*$H755</f>
        <v>489.41632878144742</v>
      </c>
      <c r="R755" s="384">
        <f>VLOOKUP($A755,'8.Non-elective admissions - CCG'!$D$5:$Q$215,11,0)*$H755</f>
        <v>476.77548925913112</v>
      </c>
      <c r="S755" s="384">
        <f>VLOOKUP($A755,'8.Non-elective admissions - CCG'!$D$5:$Q$215,12,0)*$H755</f>
        <v>482.01478035087456</v>
      </c>
      <c r="T755" s="384">
        <f>VLOOKUP($A755,'8.Non-elective admissions - CCG'!$D$5:$Q$215,13,0)*$H755</f>
        <v>482.01478035087462</v>
      </c>
      <c r="U755" s="384">
        <f>VLOOKUP($A755,'8.Non-elective admissions - CCG'!$D$5:$Q$215,14,0)*$H755</f>
        <v>476.77548925900891</v>
      </c>
    </row>
    <row r="756" spans="1:21">
      <c r="A756" s="395" t="s">
        <v>590</v>
      </c>
      <c r="B756" s="395" t="s">
        <v>589</v>
      </c>
      <c r="C756" s="395" t="s">
        <v>719</v>
      </c>
      <c r="D756" s="395" t="s">
        <v>273</v>
      </c>
      <c r="E756" s="537">
        <f>COUNTIF($D$5:D756,D756)</f>
        <v>7</v>
      </c>
      <c r="F756" s="537" t="str">
        <f t="shared" si="22"/>
        <v>Leeds7</v>
      </c>
      <c r="G756" s="541" t="str">
        <f t="shared" si="23"/>
        <v>NHS Vale of York CCG</v>
      </c>
      <c r="H756" s="546">
        <v>5.686501691827924E-3</v>
      </c>
      <c r="I756" s="546">
        <v>2.3847223061582157E-3</v>
      </c>
      <c r="J756" s="384">
        <f>VLOOKUP($A756,'8.Non-elective admissions - CCG'!$D$5:$N$215,3,0)*$H756</f>
        <v>53.913722540220547</v>
      </c>
      <c r="K756" s="384">
        <f>VLOOKUP($A756,'8.Non-elective admissions - CCG'!$D$5:$N$215,4,0)*$H756</f>
        <v>47.755241207970904</v>
      </c>
      <c r="L756" s="384">
        <f>VLOOKUP($A756,'8.Non-elective admissions - CCG'!$D$5:$N$215,5,0)*$H756</f>
        <v>46.879519947429408</v>
      </c>
      <c r="M756" s="384">
        <f>VLOOKUP($A756,'8.Non-elective admissions - CCG'!$D$5:$N$215,6,0)*$H756</f>
        <v>46.492837832385106</v>
      </c>
      <c r="N756" s="384">
        <f>VLOOKUP($A756,'8.Non-elective admissions - CCG'!$D$5:$N$215,7,0)*$H756</f>
        <v>46.790165084421524</v>
      </c>
      <c r="O756" s="384">
        <f>VLOOKUP($A756,'8.Non-elective admissions - CCG'!$D$5:$N$215,8,0)*$H756</f>
        <v>45.661490603103424</v>
      </c>
      <c r="P756" s="384">
        <f>VLOOKUP($A756,'8.Non-elective admissions - CCG'!$D$5:$N$215,9,0)*$H756</f>
        <v>44.674347182260796</v>
      </c>
      <c r="Q756" s="384">
        <f>VLOOKUP($A756,'8.Non-elective admissions - CCG'!$D$5:$N$215,10,0)*$H756</f>
        <v>43.283805490420725</v>
      </c>
      <c r="R756" s="384">
        <f>VLOOKUP($A756,'8.Non-elective admissions - CCG'!$D$5:$Q$215,11,0)*$H756</f>
        <v>42.165854153402925</v>
      </c>
      <c r="S756" s="384">
        <f>VLOOKUP($A756,'8.Non-elective admissions - CCG'!$D$5:$Q$215,12,0)*$H756</f>
        <v>42.629215188142702</v>
      </c>
      <c r="T756" s="384">
        <f>VLOOKUP($A756,'8.Non-elective admissions - CCG'!$D$5:$Q$215,13,0)*$H756</f>
        <v>42.629215188142709</v>
      </c>
      <c r="U756" s="384">
        <f>VLOOKUP($A756,'8.Non-elective admissions - CCG'!$D$5:$Q$215,14,0)*$H756</f>
        <v>42.165854153392111</v>
      </c>
    </row>
    <row r="757" spans="1:21">
      <c r="A757" s="395" t="s">
        <v>590</v>
      </c>
      <c r="B757" s="395" t="s">
        <v>589</v>
      </c>
      <c r="C757" s="395" t="s">
        <v>738</v>
      </c>
      <c r="D757" s="395" t="s">
        <v>330</v>
      </c>
      <c r="E757" s="537">
        <f>COUNTIF($D$5:D757,D757)</f>
        <v>14</v>
      </c>
      <c r="F757" s="537" t="str">
        <f t="shared" si="22"/>
        <v>North Yorkshire14</v>
      </c>
      <c r="G757" s="541" t="str">
        <f t="shared" si="23"/>
        <v>NHS Vale of York CCG</v>
      </c>
      <c r="H757" s="546">
        <v>0.32419688611432951</v>
      </c>
      <c r="I757" s="546">
        <v>0.18441934891529602</v>
      </c>
      <c r="J757" s="384">
        <f>VLOOKUP($A757,'8.Non-elective admissions - CCG'!$D$5:$N$215,3,0)*$H757</f>
        <v>3073.7106772499583</v>
      </c>
      <c r="K757" s="384">
        <f>VLOOKUP($A757,'8.Non-elective admissions - CCG'!$D$5:$N$215,4,0)*$H757</f>
        <v>2722.605449588139</v>
      </c>
      <c r="L757" s="384">
        <f>VLOOKUP($A757,'8.Non-elective admissions - CCG'!$D$5:$N$215,5,0)*$H757</f>
        <v>2672.6791291265326</v>
      </c>
      <c r="M757" s="384">
        <f>VLOOKUP($A757,'8.Non-elective admissions - CCG'!$D$5:$N$215,6,0)*$H757</f>
        <v>2650.6337408707582</v>
      </c>
      <c r="N757" s="384">
        <f>VLOOKUP($A757,'8.Non-elective admissions - CCG'!$D$5:$N$215,7,0)*$H757</f>
        <v>2667.5848602919768</v>
      </c>
      <c r="O757" s="384">
        <f>VLOOKUP($A757,'8.Non-elective admissions - CCG'!$D$5:$N$215,8,0)*$H757</f>
        <v>2603.2372574756641</v>
      </c>
      <c r="P757" s="384">
        <f>VLOOKUP($A757,'8.Non-elective admissions - CCG'!$D$5:$N$215,9,0)*$H757</f>
        <v>2546.9585749870366</v>
      </c>
      <c r="Q757" s="384">
        <f>VLOOKUP($A757,'8.Non-elective admissions - CCG'!$D$5:$N$215,10,0)*$H757</f>
        <v>2467.681488486814</v>
      </c>
      <c r="R757" s="384">
        <f>VLOOKUP($A757,'8.Non-elective admissions - CCG'!$D$5:$Q$215,11,0)*$H757</f>
        <v>2403.9452298993278</v>
      </c>
      <c r="S757" s="384">
        <f>VLOOKUP($A757,'8.Non-elective admissions - CCG'!$D$5:$Q$215,12,0)*$H757</f>
        <v>2430.3622104526321</v>
      </c>
      <c r="T757" s="384">
        <f>VLOOKUP($A757,'8.Non-elective admissions - CCG'!$D$5:$Q$215,13,0)*$H757</f>
        <v>2430.3622104526326</v>
      </c>
      <c r="U757" s="384">
        <f>VLOOKUP($A757,'8.Non-elective admissions - CCG'!$D$5:$Q$215,14,0)*$H757</f>
        <v>2403.9452298987117</v>
      </c>
    </row>
    <row r="758" spans="1:21">
      <c r="A758" s="395" t="s">
        <v>590</v>
      </c>
      <c r="B758" s="395" t="s">
        <v>589</v>
      </c>
      <c r="C758" s="395" t="s">
        <v>800</v>
      </c>
      <c r="D758" s="395" t="s">
        <v>516</v>
      </c>
      <c r="E758" s="537">
        <f>COUNTIF($D$5:D758,D758)</f>
        <v>2</v>
      </c>
      <c r="F758" s="537" t="str">
        <f t="shared" si="22"/>
        <v>York2</v>
      </c>
      <c r="G758" s="541" t="str">
        <f t="shared" si="23"/>
        <v>NHS Vale of York CCG</v>
      </c>
      <c r="H758" s="546">
        <v>0.60581850462010245</v>
      </c>
      <c r="I758" s="546">
        <v>1</v>
      </c>
      <c r="J758" s="384">
        <f>VLOOKUP($A758,'8.Non-elective admissions - CCG'!$D$5:$N$215,3,0)*$H758</f>
        <v>5743.7652423031914</v>
      </c>
      <c r="K758" s="384">
        <f>VLOOKUP($A758,'8.Non-elective admissions - CCG'!$D$5:$N$215,4,0)*$H758</f>
        <v>5087.6638017996202</v>
      </c>
      <c r="L758" s="384">
        <f>VLOOKUP($A758,'8.Non-elective admissions - CCG'!$D$5:$N$215,5,0)*$H758</f>
        <v>4994.3677520881247</v>
      </c>
      <c r="M758" s="384">
        <f>VLOOKUP($A758,'8.Non-elective admissions - CCG'!$D$5:$N$215,6,0)*$H758</f>
        <v>4953.1720937739574</v>
      </c>
      <c r="N758" s="384">
        <f>VLOOKUP($A758,'8.Non-elective admissions - CCG'!$D$5:$N$215,7,0)*$H758</f>
        <v>4984.8482210263892</v>
      </c>
      <c r="O758" s="384">
        <f>VLOOKUP($A758,'8.Non-elective admissions - CCG'!$D$5:$N$215,8,0)*$H758</f>
        <v>4864.6034864723397</v>
      </c>
      <c r="P758" s="384">
        <f>VLOOKUP($A758,'8.Non-elective admissions - CCG'!$D$5:$N$215,9,0)*$H758</f>
        <v>4759.4369388355244</v>
      </c>
      <c r="Q758" s="384">
        <f>VLOOKUP($A758,'8.Non-elective admissions - CCG'!$D$5:$N$215,10,0)*$H758</f>
        <v>4611.2938564949181</v>
      </c>
      <c r="R758" s="384">
        <f>VLOOKUP($A758,'8.Non-elective admissions - CCG'!$D$5:$Q$215,11,0)*$H758</f>
        <v>4492.1915254073392</v>
      </c>
      <c r="S758" s="384">
        <f>VLOOKUP($A758,'8.Non-elective admissions - CCG'!$D$5:$Q$215,12,0)*$H758</f>
        <v>4541.5562674540506</v>
      </c>
      <c r="T758" s="384">
        <f>VLOOKUP($A758,'8.Non-elective admissions - CCG'!$D$5:$Q$215,13,0)*$H758</f>
        <v>4541.5562674540515</v>
      </c>
      <c r="U758" s="384">
        <f>VLOOKUP($A758,'8.Non-elective admissions - CCG'!$D$5:$Q$215,14,0)*$H758</f>
        <v>4492.1915254061869</v>
      </c>
    </row>
    <row r="759" spans="1:21">
      <c r="A759" s="395" t="s">
        <v>592</v>
      </c>
      <c r="B759" s="395" t="s">
        <v>591</v>
      </c>
      <c r="C759" s="395" t="s">
        <v>673</v>
      </c>
      <c r="D759" s="395" t="s">
        <v>110</v>
      </c>
      <c r="E759" s="537">
        <f>COUNTIF($D$5:D759,D759)</f>
        <v>8</v>
      </c>
      <c r="F759" s="537" t="str">
        <f t="shared" si="22"/>
        <v>Cheshire East8</v>
      </c>
      <c r="G759" s="541" t="str">
        <f t="shared" si="23"/>
        <v>NHS Vale Royal CCG</v>
      </c>
      <c r="H759" s="546">
        <v>6.4936331194789497E-3</v>
      </c>
      <c r="I759" s="546">
        <v>1.7142548268113578E-3</v>
      </c>
      <c r="J759" s="384">
        <f>VLOOKUP($A759,'8.Non-elective admissions - CCG'!$D$5:$N$215,3,0)*$H759</f>
        <v>13.584680485949963</v>
      </c>
      <c r="K759" s="384">
        <f>VLOOKUP($A759,'8.Non-elective admissions - CCG'!$D$5:$N$215,4,0)*$H759</f>
        <v>14.058715703671925</v>
      </c>
      <c r="L759" s="384">
        <f>VLOOKUP($A759,'8.Non-elective admissions - CCG'!$D$5:$N$215,5,0)*$H759</f>
        <v>14.428852791482226</v>
      </c>
      <c r="M759" s="384">
        <f>VLOOKUP($A759,'8.Non-elective admissions - CCG'!$D$5:$N$215,6,0)*$H759</f>
        <v>14.331448294690041</v>
      </c>
      <c r="N759" s="384">
        <f>VLOOKUP($A759,'8.Non-elective admissions - CCG'!$D$5:$N$215,7,0)*$H759</f>
        <v>18.23412179949689</v>
      </c>
      <c r="O759" s="384">
        <f>VLOOKUP($A759,'8.Non-elective admissions - CCG'!$D$5:$N$215,8,0)*$H759</f>
        <v>18.610752520426669</v>
      </c>
      <c r="P759" s="384">
        <f>VLOOKUP($A759,'8.Non-elective admissions - CCG'!$D$5:$N$215,9,0)*$H759</f>
        <v>19.779606481932881</v>
      </c>
      <c r="Q759" s="384">
        <f>VLOOKUP($A759,'8.Non-elective admissions - CCG'!$D$5:$N$215,10,0)*$H759</f>
        <v>18.902966010803222</v>
      </c>
      <c r="R759" s="384">
        <f>VLOOKUP($A759,'8.Non-elective admissions - CCG'!$D$5:$Q$215,11,0)*$H759</f>
        <v>17.571771221310037</v>
      </c>
      <c r="S759" s="384">
        <f>VLOOKUP($A759,'8.Non-elective admissions - CCG'!$D$5:$Q$215,12,0)*$H759</f>
        <v>17.87697197792555</v>
      </c>
      <c r="T759" s="384">
        <f>VLOOKUP($A759,'8.Non-elective admissions - CCG'!$D$5:$Q$215,13,0)*$H759</f>
        <v>19.058813205670717</v>
      </c>
      <c r="U759" s="384">
        <f>VLOOKUP($A759,'8.Non-elective admissions - CCG'!$D$5:$Q$215,14,0)*$H759</f>
        <v>18.143210935824186</v>
      </c>
    </row>
    <row r="760" spans="1:21">
      <c r="A760" s="395" t="s">
        <v>592</v>
      </c>
      <c r="B760" s="395" t="s">
        <v>591</v>
      </c>
      <c r="C760" s="395" t="s">
        <v>674</v>
      </c>
      <c r="D760" s="395" t="s">
        <v>114</v>
      </c>
      <c r="E760" s="537">
        <f>COUNTIF($D$5:D760,D760)</f>
        <v>4</v>
      </c>
      <c r="F760" s="537" t="str">
        <f t="shared" si="22"/>
        <v>Cheshire West and Chester4</v>
      </c>
      <c r="G760" s="541" t="str">
        <f t="shared" si="23"/>
        <v>NHS Vale Royal CCG</v>
      </c>
      <c r="H760" s="546">
        <v>0.99350636688052107</v>
      </c>
      <c r="I760" s="546">
        <v>0.29185522954068943</v>
      </c>
      <c r="J760" s="384">
        <f>VLOOKUP($A760,'8.Non-elective admissions - CCG'!$D$5:$N$215,3,0)*$H760</f>
        <v>2078.4153195140502</v>
      </c>
      <c r="K760" s="384">
        <f>VLOOKUP($A760,'8.Non-elective admissions - CCG'!$D$5:$N$215,4,0)*$H760</f>
        <v>2150.9412842963279</v>
      </c>
      <c r="L760" s="384">
        <f>VLOOKUP($A760,'8.Non-elective admissions - CCG'!$D$5:$N$215,5,0)*$H760</f>
        <v>2207.5711472085177</v>
      </c>
      <c r="M760" s="384">
        <f>VLOOKUP($A760,'8.Non-elective admissions - CCG'!$D$5:$N$215,6,0)*$H760</f>
        <v>2192.6685517053102</v>
      </c>
      <c r="N760" s="384">
        <f>VLOOKUP($A760,'8.Non-elective admissions - CCG'!$D$5:$N$215,7,0)*$H760</f>
        <v>2789.7658782005033</v>
      </c>
      <c r="O760" s="384">
        <f>VLOOKUP($A760,'8.Non-elective admissions - CCG'!$D$5:$N$215,8,0)*$H760</f>
        <v>2847.3892474795734</v>
      </c>
      <c r="P760" s="384">
        <f>VLOOKUP($A760,'8.Non-elective admissions - CCG'!$D$5:$N$215,9,0)*$H760</f>
        <v>3026.2203935180673</v>
      </c>
      <c r="Q760" s="384">
        <f>VLOOKUP($A760,'8.Non-elective admissions - CCG'!$D$5:$N$215,10,0)*$H760</f>
        <v>2892.0970339891969</v>
      </c>
      <c r="R760" s="384">
        <f>VLOOKUP($A760,'8.Non-elective admissions - CCG'!$D$5:$Q$215,11,0)*$H760</f>
        <v>2688.42822877869</v>
      </c>
      <c r="S760" s="384">
        <f>VLOOKUP($A760,'8.Non-elective admissions - CCG'!$D$5:$Q$215,12,0)*$H760</f>
        <v>2735.1230280220743</v>
      </c>
      <c r="T760" s="384">
        <f>VLOOKUP($A760,'8.Non-elective admissions - CCG'!$D$5:$Q$215,13,0)*$H760</f>
        <v>2915.9411867943295</v>
      </c>
      <c r="U760" s="384">
        <f>VLOOKUP($A760,'8.Non-elective admissions - CCG'!$D$5:$Q$215,14,0)*$H760</f>
        <v>2775.8567890641757</v>
      </c>
    </row>
    <row r="761" spans="1:21">
      <c r="A761" s="395" t="s">
        <v>594</v>
      </c>
      <c r="B761" s="395" t="s">
        <v>1237</v>
      </c>
      <c r="C761" s="395" t="s">
        <v>652</v>
      </c>
      <c r="D761" s="395" t="s">
        <v>23</v>
      </c>
      <c r="E761" s="537">
        <f>COUNTIF($D$5:D761,D761)</f>
        <v>6</v>
      </c>
      <c r="F761" s="537" t="str">
        <f t="shared" si="22"/>
        <v>Barnsley6</v>
      </c>
      <c r="G761" s="541" t="str">
        <f t="shared" si="23"/>
        <v>NHS Wakefield CCG</v>
      </c>
      <c r="H761" s="546">
        <v>3.5649681351404001E-3</v>
      </c>
      <c r="I761" s="546">
        <v>5.2711060270015592E-3</v>
      </c>
      <c r="J761" s="384">
        <f>VLOOKUP($A761,'8.Non-elective admissions - CCG'!$D$5:$N$215,3,0)*$H761</f>
        <v>38.733378788300449</v>
      </c>
      <c r="K761" s="384">
        <f>VLOOKUP($A761,'8.Non-elective admissions - CCG'!$D$5:$N$215,4,0)*$H761</f>
        <v>35.756630395458217</v>
      </c>
      <c r="L761" s="384">
        <f>VLOOKUP($A761,'8.Non-elective admissions - CCG'!$D$5:$N$215,5,0)*$H761</f>
        <v>37.200442490190078</v>
      </c>
      <c r="M761" s="384">
        <f>VLOOKUP($A761,'8.Non-elective admissions - CCG'!$D$5:$N$215,6,0)*$H761</f>
        <v>37.663888347758331</v>
      </c>
      <c r="N761" s="384">
        <f>VLOOKUP($A761,'8.Non-elective admissions - CCG'!$D$5:$N$215,7,0)*$H761</f>
        <v>39.022269986266302</v>
      </c>
      <c r="O761" s="384">
        <f>VLOOKUP($A761,'8.Non-elective admissions - CCG'!$D$5:$N$215,8,0)*$H761</f>
        <v>38.885118066907189</v>
      </c>
      <c r="P761" s="384">
        <f>VLOOKUP($A761,'8.Non-elective admissions - CCG'!$D$5:$N$215,9,0)*$H761</f>
        <v>40.389534619936434</v>
      </c>
      <c r="Q761" s="384">
        <f>VLOOKUP($A761,'8.Non-elective admissions - CCG'!$D$5:$N$215,10,0)*$H761</f>
        <v>38.888484327354746</v>
      </c>
      <c r="R761" s="384">
        <f>VLOOKUP($A761,'8.Non-elective admissions - CCG'!$D$5:$Q$215,11,0)*$H761</f>
        <v>39.400156608591182</v>
      </c>
      <c r="S761" s="384">
        <f>VLOOKUP($A761,'8.Non-elective admissions - CCG'!$D$5:$Q$215,12,0)*$H761</f>
        <v>39.263004689232069</v>
      </c>
      <c r="T761" s="384">
        <f>VLOOKUP($A761,'8.Non-elective admissions - CCG'!$D$5:$Q$215,13,0)*$H761</f>
        <v>40.788811051072159</v>
      </c>
      <c r="U761" s="384">
        <f>VLOOKUP($A761,'8.Non-elective admissions - CCG'!$D$5:$Q$215,14,0)*$H761</f>
        <v>39.266370949679626</v>
      </c>
    </row>
    <row r="762" spans="1:21">
      <c r="A762" s="395" t="s">
        <v>594</v>
      </c>
      <c r="B762" s="395" t="s">
        <v>1237</v>
      </c>
      <c r="C762" s="395" t="s">
        <v>685</v>
      </c>
      <c r="D762" s="395" t="s">
        <v>154</v>
      </c>
      <c r="E762" s="537">
        <f>COUNTIF($D$5:D762,D762)</f>
        <v>5</v>
      </c>
      <c r="F762" s="537" t="str">
        <f t="shared" si="22"/>
        <v>Doncaster5</v>
      </c>
      <c r="G762" s="541" t="str">
        <f t="shared" si="23"/>
        <v>NHS Wakefield CCG</v>
      </c>
      <c r="H762" s="546">
        <v>1.2245011549272256E-3</v>
      </c>
      <c r="I762" s="546">
        <v>1.4285435998000042E-3</v>
      </c>
      <c r="J762" s="384">
        <f>VLOOKUP($A762,'8.Non-elective admissions - CCG'!$D$5:$N$215,3,0)*$H762</f>
        <v>13.304205048284306</v>
      </c>
      <c r="K762" s="384">
        <f>VLOOKUP($A762,'8.Non-elective admissions - CCG'!$D$5:$N$215,4,0)*$H762</f>
        <v>12.281746583920073</v>
      </c>
      <c r="L762" s="384">
        <f>VLOOKUP($A762,'8.Non-elective admissions - CCG'!$D$5:$N$215,5,0)*$H762</f>
        <v>12.7776695516656</v>
      </c>
      <c r="M762" s="384">
        <f>VLOOKUP($A762,'8.Non-elective admissions - CCG'!$D$5:$N$215,6,0)*$H762</f>
        <v>12.936854701806139</v>
      </c>
      <c r="N762" s="384">
        <f>VLOOKUP($A762,'8.Non-elective admissions - CCG'!$D$5:$N$215,7,0)*$H762</f>
        <v>13.403433875064145</v>
      </c>
      <c r="O762" s="384">
        <f>VLOOKUP($A762,'8.Non-elective admissions - CCG'!$D$5:$N$215,8,0)*$H762</f>
        <v>13.356324706822141</v>
      </c>
      <c r="P762" s="384">
        <f>VLOOKUP($A762,'8.Non-elective admissions - CCG'!$D$5:$N$215,9,0)*$H762</f>
        <v>13.873064194201429</v>
      </c>
      <c r="Q762" s="384">
        <f>VLOOKUP($A762,'8.Non-elective admissions - CCG'!$D$5:$N$215,10,0)*$H762</f>
        <v>13.357480955531683</v>
      </c>
      <c r="R762" s="384">
        <f>VLOOKUP($A762,'8.Non-elective admissions - CCG'!$D$5:$Q$215,11,0)*$H762</f>
        <v>13.533230997486431</v>
      </c>
      <c r="S762" s="384">
        <f>VLOOKUP($A762,'8.Non-elective admissions - CCG'!$D$5:$Q$215,12,0)*$H762</f>
        <v>13.486121829244427</v>
      </c>
      <c r="T762" s="384">
        <f>VLOOKUP($A762,'8.Non-elective admissions - CCG'!$D$5:$Q$215,13,0)*$H762</f>
        <v>14.010208323553279</v>
      </c>
      <c r="U762" s="384">
        <f>VLOOKUP($A762,'8.Non-elective admissions - CCG'!$D$5:$Q$215,14,0)*$H762</f>
        <v>13.48727807795397</v>
      </c>
    </row>
    <row r="763" spans="1:21">
      <c r="A763" s="395" t="s">
        <v>594</v>
      </c>
      <c r="B763" s="395" t="s">
        <v>1237</v>
      </c>
      <c r="C763" s="395" t="s">
        <v>715</v>
      </c>
      <c r="D763" s="395" t="s">
        <v>261</v>
      </c>
      <c r="E763" s="537">
        <f>COUNTIF($D$5:D763,D763)</f>
        <v>7</v>
      </c>
      <c r="F763" s="537" t="str">
        <f t="shared" si="22"/>
        <v>Kirklees7</v>
      </c>
      <c r="G763" s="541" t="str">
        <f t="shared" si="23"/>
        <v>NHS Wakefield CCG</v>
      </c>
      <c r="H763" s="546">
        <v>1.4170817911112348E-2</v>
      </c>
      <c r="I763" s="546">
        <v>1.1602603977970544E-2</v>
      </c>
      <c r="J763" s="384">
        <f>VLOOKUP($A763,'8.Non-elective admissions - CCG'!$D$5:$N$215,3,0)*$H763</f>
        <v>153.96593660423565</v>
      </c>
      <c r="K763" s="384">
        <f>VLOOKUP($A763,'8.Non-elective admissions - CCG'!$D$5:$N$215,4,0)*$H763</f>
        <v>142.13330364845686</v>
      </c>
      <c r="L763" s="384">
        <f>VLOOKUP($A763,'8.Non-elective admissions - CCG'!$D$5:$N$215,5,0)*$H763</f>
        <v>147.87248490245736</v>
      </c>
      <c r="M763" s="384">
        <f>VLOOKUP($A763,'8.Non-elective admissions - CCG'!$D$5:$N$215,6,0)*$H763</f>
        <v>149.71469123090196</v>
      </c>
      <c r="N763" s="384">
        <f>VLOOKUP($A763,'8.Non-elective admissions - CCG'!$D$5:$N$215,7,0)*$H763</f>
        <v>155.11428475415144</v>
      </c>
      <c r="O763" s="384">
        <f>VLOOKUP($A763,'8.Non-elective admissions - CCG'!$D$5:$N$215,8,0)*$H763</f>
        <v>154.56910319804169</v>
      </c>
      <c r="P763" s="384">
        <f>VLOOKUP($A763,'8.Non-elective admissions - CCG'!$D$5:$N$215,9,0)*$H763</f>
        <v>160.54918835653109</v>
      </c>
      <c r="Q763" s="384">
        <f>VLOOKUP($A763,'8.Non-elective admissions - CCG'!$D$5:$N$215,10,0)*$H763</f>
        <v>154.58248414901666</v>
      </c>
      <c r="R763" s="384">
        <f>VLOOKUP($A763,'8.Non-elective admissions - CCG'!$D$5:$Q$215,11,0)*$H763</f>
        <v>156.61639145272935</v>
      </c>
      <c r="S763" s="384">
        <f>VLOOKUP($A763,'8.Non-elective admissions - CCG'!$D$5:$Q$215,12,0)*$H763</f>
        <v>156.07120989661959</v>
      </c>
      <c r="T763" s="384">
        <f>VLOOKUP($A763,'8.Non-elective admissions - CCG'!$D$5:$Q$215,13,0)*$H763</f>
        <v>162.13631996257567</v>
      </c>
      <c r="U763" s="384">
        <f>VLOOKUP($A763,'8.Non-elective admissions - CCG'!$D$5:$Q$215,14,0)*$H763</f>
        <v>156.08459084759457</v>
      </c>
    </row>
    <row r="764" spans="1:21">
      <c r="A764" s="395" t="s">
        <v>594</v>
      </c>
      <c r="B764" s="395" t="s">
        <v>1237</v>
      </c>
      <c r="C764" s="395" t="s">
        <v>719</v>
      </c>
      <c r="D764" s="395" t="s">
        <v>273</v>
      </c>
      <c r="E764" s="537">
        <f>COUNTIF($D$5:D764,D764)</f>
        <v>8</v>
      </c>
      <c r="F764" s="537" t="str">
        <f t="shared" si="22"/>
        <v>Leeds8</v>
      </c>
      <c r="G764" s="541" t="str">
        <f t="shared" si="23"/>
        <v>NHS Wakefield CCG</v>
      </c>
      <c r="H764" s="546">
        <v>1.4808115103108562E-2</v>
      </c>
      <c r="I764" s="546">
        <v>6.4313772889345493E-3</v>
      </c>
      <c r="J764" s="384">
        <f>VLOOKUP($A764,'8.Non-elective admissions - CCG'!$D$5:$N$215,3,0)*$H764</f>
        <v>160.89017059527453</v>
      </c>
      <c r="K764" s="384">
        <f>VLOOKUP($A764,'8.Non-elective admissions - CCG'!$D$5:$N$215,4,0)*$H764</f>
        <v>148.52539448417886</v>
      </c>
      <c r="L764" s="384">
        <f>VLOOKUP($A764,'8.Non-elective admissions - CCG'!$D$5:$N$215,5,0)*$H764</f>
        <v>154.52268110093783</v>
      </c>
      <c r="M764" s="384">
        <f>VLOOKUP($A764,'8.Non-elective admissions - CCG'!$D$5:$N$215,6,0)*$H764</f>
        <v>156.44773606434197</v>
      </c>
      <c r="N764" s="384">
        <f>VLOOKUP($A764,'8.Non-elective admissions - CCG'!$D$5:$N$215,7,0)*$H764</f>
        <v>162.090162839128</v>
      </c>
      <c r="O764" s="384">
        <f>VLOOKUP($A764,'8.Non-elective admissions - CCG'!$D$5:$N$215,8,0)*$H764</f>
        <v>161.52046310227411</v>
      </c>
      <c r="P764" s="384">
        <f>VLOOKUP($A764,'8.Non-elective admissions - CCG'!$D$5:$N$215,9,0)*$H764</f>
        <v>167.76948767578591</v>
      </c>
      <c r="Q764" s="384">
        <f>VLOOKUP($A764,'8.Non-elective admissions - CCG'!$D$5:$N$215,10,0)*$H764</f>
        <v>161.53444582814566</v>
      </c>
      <c r="R764" s="384">
        <f>VLOOKUP($A764,'8.Non-elective admissions - CCG'!$D$5:$Q$215,11,0)*$H764</f>
        <v>163.65982304005749</v>
      </c>
      <c r="S764" s="384">
        <f>VLOOKUP($A764,'8.Non-elective admissions - CCG'!$D$5:$Q$215,12,0)*$H764</f>
        <v>163.09012330320363</v>
      </c>
      <c r="T764" s="384">
        <f>VLOOKUP($A764,'8.Non-elective admissions - CCG'!$D$5:$Q$215,13,0)*$H764</f>
        <v>169.42799656733408</v>
      </c>
      <c r="U764" s="384">
        <f>VLOOKUP($A764,'8.Non-elective admissions - CCG'!$D$5:$Q$215,14,0)*$H764</f>
        <v>163.10410602907515</v>
      </c>
    </row>
    <row r="765" spans="1:21">
      <c r="A765" s="395" t="s">
        <v>594</v>
      </c>
      <c r="B765" s="395" t="s">
        <v>1237</v>
      </c>
      <c r="C765" s="395" t="s">
        <v>738</v>
      </c>
      <c r="D765" s="395" t="s">
        <v>330</v>
      </c>
      <c r="E765" s="537">
        <f>COUNTIF($D$5:D765,D765)</f>
        <v>15</v>
      </c>
      <c r="F765" s="537" t="str">
        <f t="shared" si="22"/>
        <v>North Yorkshire15</v>
      </c>
      <c r="G765" s="541" t="str">
        <f t="shared" si="23"/>
        <v>NHS Wakefield CCG</v>
      </c>
      <c r="H765" s="546">
        <v>2.0284974814237609E-2</v>
      </c>
      <c r="I765" s="546">
        <v>1.195043414391018E-2</v>
      </c>
      <c r="J765" s="384">
        <f>VLOOKUP($A765,'8.Non-elective admissions - CCG'!$D$5:$N$215,3,0)*$H765</f>
        <v>220.39625135669161</v>
      </c>
      <c r="K765" s="384">
        <f>VLOOKUP($A765,'8.Non-elective admissions - CCG'!$D$5:$N$215,4,0)*$H765</f>
        <v>203.45829738680322</v>
      </c>
      <c r="L765" s="384">
        <f>VLOOKUP($A765,'8.Non-elective admissions - CCG'!$D$5:$N$215,5,0)*$H765</f>
        <v>211.67371218656945</v>
      </c>
      <c r="M765" s="384">
        <f>VLOOKUP($A765,'8.Non-elective admissions - CCG'!$D$5:$N$215,6,0)*$H765</f>
        <v>214.31075891242034</v>
      </c>
      <c r="N765" s="384">
        <f>VLOOKUP($A765,'8.Non-elective admissions - CCG'!$D$5:$N$215,7,0)*$H765</f>
        <v>222.04006708032401</v>
      </c>
      <c r="O765" s="384">
        <f>VLOOKUP($A765,'8.Non-elective admissions - CCG'!$D$5:$N$215,8,0)*$H765</f>
        <v>221.2596608818786</v>
      </c>
      <c r="P765" s="384">
        <f>VLOOKUP($A765,'8.Non-elective admissions - CCG'!$D$5:$N$215,9,0)*$H765</f>
        <v>229.81992025348688</v>
      </c>
      <c r="Q765" s="384">
        <f>VLOOKUP($A765,'8.Non-elective admissions - CCG'!$D$5:$N$215,10,0)*$H765</f>
        <v>221.27881519288738</v>
      </c>
      <c r="R765" s="384">
        <f>VLOOKUP($A765,'8.Non-elective admissions - CCG'!$D$5:$Q$215,11,0)*$H765</f>
        <v>224.19027441063318</v>
      </c>
      <c r="S765" s="384">
        <f>VLOOKUP($A765,'8.Non-elective admissions - CCG'!$D$5:$Q$215,12,0)*$H765</f>
        <v>223.4098682121878</v>
      </c>
      <c r="T765" s="384">
        <f>VLOOKUP($A765,'8.Non-elective admissions - CCG'!$D$5:$Q$215,13,0)*$H765</f>
        <v>232.0918374326815</v>
      </c>
      <c r="U765" s="384">
        <f>VLOOKUP($A765,'8.Non-elective admissions - CCG'!$D$5:$Q$215,14,0)*$H765</f>
        <v>223.42902252319658</v>
      </c>
    </row>
    <row r="766" spans="1:21">
      <c r="A766" s="395" t="s">
        <v>594</v>
      </c>
      <c r="B766" s="395" t="s">
        <v>1237</v>
      </c>
      <c r="C766" s="395" t="s">
        <v>784</v>
      </c>
      <c r="D766" s="395" t="s">
        <v>468</v>
      </c>
      <c r="E766" s="537">
        <f>COUNTIF($D$5:D766,D766)</f>
        <v>5</v>
      </c>
      <c r="F766" s="537" t="str">
        <f t="shared" si="22"/>
        <v>Wakefield5</v>
      </c>
      <c r="G766" s="541" t="str">
        <f t="shared" si="23"/>
        <v>NHS Wakefield CCG</v>
      </c>
      <c r="H766" s="546">
        <v>0.9459466228814738</v>
      </c>
      <c r="I766" s="546">
        <v>0.98143710154301012</v>
      </c>
      <c r="J766" s="384">
        <f>VLOOKUP($A766,'8.Non-elective admissions - CCG'!$D$5:$N$215,3,0)*$H766</f>
        <v>10277.710057607213</v>
      </c>
      <c r="K766" s="384">
        <f>VLOOKUP($A766,'8.Non-elective admissions - CCG'!$D$5:$N$215,4,0)*$H766</f>
        <v>9487.8446275011829</v>
      </c>
      <c r="L766" s="384">
        <f>VLOOKUP($A766,'8.Non-elective admissions - CCG'!$D$5:$N$215,5,0)*$H766</f>
        <v>9870.95300976818</v>
      </c>
      <c r="M766" s="384">
        <f>VLOOKUP($A766,'8.Non-elective admissions - CCG'!$D$5:$N$215,6,0)*$H766</f>
        <v>9993.9260707427711</v>
      </c>
      <c r="N766" s="384">
        <f>VLOOKUP($A766,'8.Non-elective admissions - CCG'!$D$5:$N$215,7,0)*$H766</f>
        <v>10354.365904935064</v>
      </c>
      <c r="O766" s="384">
        <f>VLOOKUP($A766,'8.Non-elective admissions - CCG'!$D$5:$N$215,8,0)*$H766</f>
        <v>10317.973323004077</v>
      </c>
      <c r="P766" s="384">
        <f>VLOOKUP($A766,'8.Non-elective admissions - CCG'!$D$5:$N$215,9,0)*$H766</f>
        <v>10717.162797860057</v>
      </c>
      <c r="Q766" s="384">
        <f>VLOOKUP($A766,'8.Non-elective admissions - CCG'!$D$5:$N$215,10,0)*$H766</f>
        <v>10318.866543527063</v>
      </c>
      <c r="R766" s="384">
        <f>VLOOKUP($A766,'8.Non-elective admissions - CCG'!$D$5:$Q$215,11,0)*$H766</f>
        <v>10454.636246960501</v>
      </c>
      <c r="S766" s="384">
        <f>VLOOKUP($A766,'8.Non-elective admissions - CCG'!$D$5:$Q$215,12,0)*$H766</f>
        <v>10418.243665029511</v>
      </c>
      <c r="T766" s="384">
        <f>VLOOKUP($A766,'8.Non-elective admissions - CCG'!$D$5:$Q$215,13,0)*$H766</f>
        <v>10823.108819622783</v>
      </c>
      <c r="U766" s="384">
        <f>VLOOKUP($A766,'8.Non-elective admissions - CCG'!$D$5:$Q$215,14,0)*$H766</f>
        <v>10419.1368855525</v>
      </c>
    </row>
    <row r="767" spans="1:21">
      <c r="A767" s="395" t="s">
        <v>596</v>
      </c>
      <c r="B767" s="395" t="s">
        <v>595</v>
      </c>
      <c r="C767" s="395" t="s">
        <v>656</v>
      </c>
      <c r="D767" s="395" t="s">
        <v>45</v>
      </c>
      <c r="E767" s="537">
        <f>COUNTIF($D$5:D767,D767)</f>
        <v>7</v>
      </c>
      <c r="F767" s="537" t="str">
        <f t="shared" si="22"/>
        <v>Birmingham7</v>
      </c>
      <c r="G767" s="541" t="str">
        <f t="shared" si="23"/>
        <v>NHS Walsall CCG</v>
      </c>
      <c r="H767" s="546">
        <v>6.4390421560593649E-3</v>
      </c>
      <c r="I767" s="546">
        <v>1.486803775539723E-3</v>
      </c>
      <c r="J767" s="384">
        <f>VLOOKUP($A767,'8.Non-elective admissions - CCG'!$D$5:$N$215,3,0)*$H767</f>
        <v>46.908422106892473</v>
      </c>
      <c r="K767" s="384">
        <f>VLOOKUP($A767,'8.Non-elective admissions - CCG'!$D$5:$N$215,4,0)*$H767</f>
        <v>45.485393790403357</v>
      </c>
      <c r="L767" s="384">
        <f>VLOOKUP($A767,'8.Non-elective admissions - CCG'!$D$5:$N$215,5,0)*$H767</f>
        <v>47.236813256851498</v>
      </c>
      <c r="M767" s="384">
        <f>VLOOKUP($A767,'8.Non-elective admissions - CCG'!$D$5:$N$215,6,0)*$H767</f>
        <v>46.631543294181924</v>
      </c>
      <c r="N767" s="384">
        <f>VLOOKUP($A767,'8.Non-elective admissions - CCG'!$D$5:$N$215,7,0)*$H767</f>
        <v>44.770660111080765</v>
      </c>
      <c r="O767" s="384">
        <f>VLOOKUP($A767,'8.Non-elective admissions - CCG'!$D$5:$N$215,8,0)*$H767</f>
        <v>46.451250113812257</v>
      </c>
      <c r="P767" s="384">
        <f>VLOOKUP($A767,'8.Non-elective admissions - CCG'!$D$5:$N$215,9,0)*$H767</f>
        <v>45.903931530547212</v>
      </c>
      <c r="Q767" s="384">
        <f>VLOOKUP($A767,'8.Non-elective admissions - CCG'!$D$5:$N$215,10,0)*$H767</f>
        <v>45.343734862970045</v>
      </c>
      <c r="R767" s="384">
        <f>VLOOKUP($A767,'8.Non-elective admissions - CCG'!$D$5:$Q$215,11,0)*$H767</f>
        <v>44.963831375762545</v>
      </c>
      <c r="S767" s="384">
        <f>VLOOKUP($A767,'8.Non-elective admissions - CCG'!$D$5:$Q$215,12,0)*$H767</f>
        <v>46.644421378494037</v>
      </c>
      <c r="T767" s="384">
        <f>VLOOKUP($A767,'8.Non-elective admissions - CCG'!$D$5:$Q$215,13,0)*$H767</f>
        <v>46.103541837385052</v>
      </c>
      <c r="U767" s="384">
        <f>VLOOKUP($A767,'8.Non-elective admissions - CCG'!$D$5:$Q$215,14,0)*$H767</f>
        <v>45.530467085495772</v>
      </c>
    </row>
    <row r="768" spans="1:21">
      <c r="A768" s="395" t="s">
        <v>596</v>
      </c>
      <c r="B768" s="395" t="s">
        <v>595</v>
      </c>
      <c r="C768" s="395" t="s">
        <v>756</v>
      </c>
      <c r="D768" s="395" t="s">
        <v>384</v>
      </c>
      <c r="E768" s="537">
        <f>COUNTIF($D$5:D768,D768)</f>
        <v>5</v>
      </c>
      <c r="F768" s="537" t="str">
        <f t="shared" si="22"/>
        <v>Sandwell5</v>
      </c>
      <c r="G768" s="541" t="str">
        <f t="shared" si="23"/>
        <v>NHS Walsall CCG</v>
      </c>
      <c r="H768" s="546">
        <v>1.6053901484111809E-2</v>
      </c>
      <c r="I768" s="546">
        <v>1.3186826336557248E-2</v>
      </c>
      <c r="J768" s="384">
        <f>VLOOKUP($A768,'8.Non-elective admissions - CCG'!$D$5:$N$215,3,0)*$H768</f>
        <v>116.95267231175453</v>
      </c>
      <c r="K768" s="384">
        <f>VLOOKUP($A768,'8.Non-elective admissions - CCG'!$D$5:$N$215,4,0)*$H768</f>
        <v>113.40476008376582</v>
      </c>
      <c r="L768" s="384">
        <f>VLOOKUP($A768,'8.Non-elective admissions - CCG'!$D$5:$N$215,5,0)*$H768</f>
        <v>117.77142128744423</v>
      </c>
      <c r="M768" s="384">
        <f>VLOOKUP($A768,'8.Non-elective admissions - CCG'!$D$5:$N$215,6,0)*$H768</f>
        <v>116.26235454793772</v>
      </c>
      <c r="N768" s="384">
        <f>VLOOKUP($A768,'8.Non-elective admissions - CCG'!$D$5:$N$215,7,0)*$H768</f>
        <v>111.6227770190294</v>
      </c>
      <c r="O768" s="384">
        <f>VLOOKUP($A768,'8.Non-elective admissions - CCG'!$D$5:$N$215,8,0)*$H768</f>
        <v>115.81284530638258</v>
      </c>
      <c r="P768" s="384">
        <f>VLOOKUP($A768,'8.Non-elective admissions - CCG'!$D$5:$N$215,9,0)*$H768</f>
        <v>114.44826368023308</v>
      </c>
      <c r="Q768" s="384">
        <f>VLOOKUP($A768,'8.Non-elective admissions - CCG'!$D$5:$N$215,10,0)*$H768</f>
        <v>113.05157425111535</v>
      </c>
      <c r="R768" s="384">
        <f>VLOOKUP($A768,'8.Non-elective admissions - CCG'!$D$5:$Q$215,11,0)*$H768</f>
        <v>112.10439406355276</v>
      </c>
      <c r="S768" s="384">
        <f>VLOOKUP($A768,'8.Non-elective admissions - CCG'!$D$5:$Q$215,12,0)*$H768</f>
        <v>116.29446235090595</v>
      </c>
      <c r="T768" s="384">
        <f>VLOOKUP($A768,'8.Non-elective admissions - CCG'!$D$5:$Q$215,13,0)*$H768</f>
        <v>114.94593462624054</v>
      </c>
      <c r="U768" s="384">
        <f>VLOOKUP($A768,'8.Non-elective admissions - CCG'!$D$5:$Q$215,14,0)*$H768</f>
        <v>113.5171373941546</v>
      </c>
    </row>
    <row r="769" spans="1:21">
      <c r="A769" s="395" t="s">
        <v>596</v>
      </c>
      <c r="B769" s="395" t="s">
        <v>595</v>
      </c>
      <c r="C769" s="395" t="s">
        <v>769</v>
      </c>
      <c r="D769" s="395" t="s">
        <v>423</v>
      </c>
      <c r="E769" s="537">
        <f>COUNTIF($D$5:D769,D769)</f>
        <v>15</v>
      </c>
      <c r="F769" s="537" t="str">
        <f t="shared" si="22"/>
        <v>Staffordshire15</v>
      </c>
      <c r="G769" s="541" t="str">
        <f t="shared" si="23"/>
        <v>NHS Walsall CCG</v>
      </c>
      <c r="H769" s="546">
        <v>1.5485750705635983E-2</v>
      </c>
      <c r="I769" s="546">
        <v>4.8891996062883471E-3</v>
      </c>
      <c r="J769" s="384">
        <f>VLOOKUP($A769,'8.Non-elective admissions - CCG'!$D$5:$N$215,3,0)*$H769</f>
        <v>112.81369389055814</v>
      </c>
      <c r="K769" s="384">
        <f>VLOOKUP($A769,'8.Non-elective admissions - CCG'!$D$5:$N$215,4,0)*$H769</f>
        <v>109.39134298461259</v>
      </c>
      <c r="L769" s="384">
        <f>VLOOKUP($A769,'8.Non-elective admissions - CCG'!$D$5:$N$215,5,0)*$H769</f>
        <v>113.60346717654558</v>
      </c>
      <c r="M769" s="384">
        <f>VLOOKUP($A769,'8.Non-elective admissions - CCG'!$D$5:$N$215,6,0)*$H769</f>
        <v>112.1478066102158</v>
      </c>
      <c r="N769" s="384">
        <f>VLOOKUP($A769,'8.Non-elective admissions - CCG'!$D$5:$N$215,7,0)*$H769</f>
        <v>107.67242465628699</v>
      </c>
      <c r="O769" s="384">
        <f>VLOOKUP($A769,'8.Non-elective admissions - CCG'!$D$5:$N$215,8,0)*$H769</f>
        <v>111.71420559045798</v>
      </c>
      <c r="P769" s="384">
        <f>VLOOKUP($A769,'8.Non-elective admissions - CCG'!$D$5:$N$215,9,0)*$H769</f>
        <v>110.39791678047892</v>
      </c>
      <c r="Q769" s="384">
        <f>VLOOKUP($A769,'8.Non-elective admissions - CCG'!$D$5:$N$215,10,0)*$H769</f>
        <v>109.05065646908859</v>
      </c>
      <c r="R769" s="384">
        <f>VLOOKUP($A769,'8.Non-elective admissions - CCG'!$D$5:$Q$215,11,0)*$H769</f>
        <v>108.13699717745607</v>
      </c>
      <c r="S769" s="384">
        <f>VLOOKUP($A769,'8.Non-elective admissions - CCG'!$D$5:$Q$215,12,0)*$H769</f>
        <v>112.17877811162707</v>
      </c>
      <c r="T769" s="384">
        <f>VLOOKUP($A769,'8.Non-elective admissions - CCG'!$D$5:$Q$215,13,0)*$H769</f>
        <v>110.87797505235363</v>
      </c>
      <c r="U769" s="384">
        <f>VLOOKUP($A769,'8.Non-elective admissions - CCG'!$D$5:$Q$215,14,0)*$H769</f>
        <v>109.49974323955203</v>
      </c>
    </row>
    <row r="770" spans="1:21">
      <c r="A770" s="395" t="s">
        <v>596</v>
      </c>
      <c r="B770" s="395" t="s">
        <v>595</v>
      </c>
      <c r="C770" s="395" t="s">
        <v>785</v>
      </c>
      <c r="D770" s="395" t="s">
        <v>471</v>
      </c>
      <c r="E770" s="537">
        <f>COUNTIF($D$5:D770,D770)</f>
        <v>4</v>
      </c>
      <c r="F770" s="537" t="str">
        <f t="shared" si="22"/>
        <v>Walsall4</v>
      </c>
      <c r="G770" s="541" t="str">
        <f t="shared" si="23"/>
        <v>NHS Walsall CCG</v>
      </c>
      <c r="H770" s="546">
        <v>0.92272056815077852</v>
      </c>
      <c r="I770" s="546">
        <v>0.90878308092945848</v>
      </c>
      <c r="J770" s="384">
        <f>VLOOKUP($A770,'8.Non-elective admissions - CCG'!$D$5:$N$215,3,0)*$H770</f>
        <v>6722.0193389784217</v>
      </c>
      <c r="K770" s="384">
        <f>VLOOKUP($A770,'8.Non-elective admissions - CCG'!$D$5:$N$215,4,0)*$H770</f>
        <v>6518.0980934170993</v>
      </c>
      <c r="L770" s="384">
        <f>VLOOKUP($A770,'8.Non-elective admissions - CCG'!$D$5:$N$215,5,0)*$H770</f>
        <v>6769.0780879541117</v>
      </c>
      <c r="M770" s="384">
        <f>VLOOKUP($A770,'8.Non-elective admissions - CCG'!$D$5:$N$215,6,0)*$H770</f>
        <v>6682.3423545479382</v>
      </c>
      <c r="N770" s="384">
        <f>VLOOKUP($A770,'8.Non-elective admissions - CCG'!$D$5:$N$215,7,0)*$H770</f>
        <v>6415.6761103523631</v>
      </c>
      <c r="O770" s="384">
        <f>VLOOKUP($A770,'8.Non-elective admissions - CCG'!$D$5:$N$215,8,0)*$H770</f>
        <v>6656.5061786397164</v>
      </c>
      <c r="P770" s="384">
        <f>VLOOKUP($A770,'8.Non-elective admissions - CCG'!$D$5:$N$215,9,0)*$H770</f>
        <v>6578.0749303469001</v>
      </c>
      <c r="Q770" s="384">
        <f>VLOOKUP($A770,'8.Non-elective admissions - CCG'!$D$5:$N$215,10,0)*$H770</f>
        <v>6497.7982409177821</v>
      </c>
      <c r="R770" s="384">
        <f>VLOOKUP($A770,'8.Non-elective admissions - CCG'!$D$5:$Q$215,11,0)*$H770</f>
        <v>6443.3577273968867</v>
      </c>
      <c r="S770" s="384">
        <f>VLOOKUP($A770,'8.Non-elective admissions - CCG'!$D$5:$Q$215,12,0)*$H770</f>
        <v>6684.18779568424</v>
      </c>
      <c r="T770" s="384">
        <f>VLOOKUP($A770,'8.Non-elective admissions - CCG'!$D$5:$Q$215,13,0)*$H770</f>
        <v>6606.6792679595746</v>
      </c>
      <c r="U770" s="384">
        <f>VLOOKUP($A770,'8.Non-elective admissions - CCG'!$D$5:$Q$215,14,0)*$H770</f>
        <v>6524.5571373941548</v>
      </c>
    </row>
    <row r="771" spans="1:21">
      <c r="A771" s="395" t="s">
        <v>596</v>
      </c>
      <c r="B771" s="395" t="s">
        <v>595</v>
      </c>
      <c r="C771" s="395" t="s">
        <v>798</v>
      </c>
      <c r="D771" s="395" t="s">
        <v>510</v>
      </c>
      <c r="E771" s="537">
        <f>COUNTIF($D$5:D771,D771)</f>
        <v>4</v>
      </c>
      <c r="F771" s="537" t="str">
        <f t="shared" si="22"/>
        <v>Wolverhampton4</v>
      </c>
      <c r="G771" s="541" t="str">
        <f t="shared" si="23"/>
        <v>NHS Walsall CCG</v>
      </c>
      <c r="H771" s="546">
        <v>3.9300737503414368E-2</v>
      </c>
      <c r="I771" s="546">
        <v>4.0571024671213402E-2</v>
      </c>
      <c r="J771" s="384">
        <f>VLOOKUP($A771,'8.Non-elective admissions - CCG'!$D$5:$N$215,3,0)*$H771</f>
        <v>286.30587271237368</v>
      </c>
      <c r="K771" s="384">
        <f>VLOOKUP($A771,'8.Non-elective admissions - CCG'!$D$5:$N$215,4,0)*$H771</f>
        <v>277.6204097241191</v>
      </c>
      <c r="L771" s="384">
        <f>VLOOKUP($A771,'8.Non-elective admissions - CCG'!$D$5:$N$215,5,0)*$H771</f>
        <v>288.31021032504782</v>
      </c>
      <c r="M771" s="384">
        <f>VLOOKUP($A771,'8.Non-elective admissions - CCG'!$D$5:$N$215,6,0)*$H771</f>
        <v>284.61594099972683</v>
      </c>
      <c r="N771" s="384">
        <f>VLOOKUP($A771,'8.Non-elective admissions - CCG'!$D$5:$N$215,7,0)*$H771</f>
        <v>273.25802786124012</v>
      </c>
      <c r="O771" s="384">
        <f>VLOOKUP($A771,'8.Non-elective admissions - CCG'!$D$5:$N$215,8,0)*$H771</f>
        <v>283.51552034963123</v>
      </c>
      <c r="P771" s="384">
        <f>VLOOKUP($A771,'8.Non-elective admissions - CCG'!$D$5:$N$215,9,0)*$H771</f>
        <v>280.17495766184101</v>
      </c>
      <c r="Q771" s="384">
        <f>VLOOKUP($A771,'8.Non-elective admissions - CCG'!$D$5:$N$215,10,0)*$H771</f>
        <v>276.75579349904399</v>
      </c>
      <c r="R771" s="384">
        <f>VLOOKUP($A771,'8.Non-elective admissions - CCG'!$D$5:$Q$215,11,0)*$H771</f>
        <v>274.43704998634252</v>
      </c>
      <c r="S771" s="384">
        <f>VLOOKUP($A771,'8.Non-elective admissions - CCG'!$D$5:$Q$215,12,0)*$H771</f>
        <v>284.69454247473368</v>
      </c>
      <c r="T771" s="384">
        <f>VLOOKUP($A771,'8.Non-elective admissions - CCG'!$D$5:$Q$215,13,0)*$H771</f>
        <v>281.39328052444688</v>
      </c>
      <c r="U771" s="384">
        <f>VLOOKUP($A771,'8.Non-elective admissions - CCG'!$D$5:$Q$215,14,0)*$H771</f>
        <v>277.89551488664301</v>
      </c>
    </row>
    <row r="772" spans="1:21">
      <c r="A772" s="395" t="s">
        <v>598</v>
      </c>
      <c r="B772" s="395" t="s">
        <v>597</v>
      </c>
      <c r="C772" s="395" t="s">
        <v>692</v>
      </c>
      <c r="D772" s="395" t="s">
        <v>180</v>
      </c>
      <c r="E772" s="537">
        <f>COUNTIF($D$5:D772,D772)</f>
        <v>12</v>
      </c>
      <c r="F772" s="537" t="str">
        <f t="shared" si="22"/>
        <v>Essex12</v>
      </c>
      <c r="G772" s="541" t="str">
        <f t="shared" si="23"/>
        <v>NHS Waltham Forest CCG</v>
      </c>
      <c r="H772" s="546">
        <v>4.7531696243070408E-3</v>
      </c>
      <c r="I772" s="546">
        <v>9.5561906728318911E-4</v>
      </c>
      <c r="J772" s="384">
        <f>VLOOKUP($A772,'8.Non-elective admissions - CCG'!$D$5:$N$215,3,0)*$H772</f>
        <v>34.9690689260269</v>
      </c>
      <c r="K772" s="384">
        <f>VLOOKUP($A772,'8.Non-elective admissions - CCG'!$D$5:$N$215,4,0)*$H772</f>
        <v>33.452807815872951</v>
      </c>
      <c r="L772" s="384">
        <f>VLOOKUP($A772,'8.Non-elective admissions - CCG'!$D$5:$N$215,5,0)*$H772</f>
        <v>36.414032491816236</v>
      </c>
      <c r="M772" s="384">
        <f>VLOOKUP($A772,'8.Non-elective admissions - CCG'!$D$5:$N$215,6,0)*$H772</f>
        <v>34.161030089894702</v>
      </c>
      <c r="N772" s="384">
        <f>VLOOKUP($A772,'8.Non-elective admissions - CCG'!$D$5:$N$215,7,0)*$H772</f>
        <v>35.957728207882766</v>
      </c>
      <c r="O772" s="384">
        <f>VLOOKUP($A772,'8.Non-elective admissions - CCG'!$D$5:$N$215,8,0)*$H772</f>
        <v>34.431960758480201</v>
      </c>
      <c r="P772" s="384">
        <f>VLOOKUP($A772,'8.Non-elective admissions - CCG'!$D$5:$N$215,9,0)*$H772</f>
        <v>37.42170445216933</v>
      </c>
      <c r="Q772" s="384">
        <f>VLOOKUP($A772,'8.Non-elective admissions - CCG'!$D$5:$N$215,10,0)*$H772</f>
        <v>35.140183032501952</v>
      </c>
      <c r="R772" s="384">
        <f>VLOOKUP($A772,'8.Non-elective admissions - CCG'!$D$5:$Q$215,11,0)*$H772</f>
        <v>37.687881951130528</v>
      </c>
      <c r="S772" s="384">
        <f>VLOOKUP($A772,'8.Non-elective admissions - CCG'!$D$5:$Q$215,12,0)*$H772</f>
        <v>35.482411245452056</v>
      </c>
      <c r="T772" s="384">
        <f>VLOOKUP($A772,'8.Non-elective admissions - CCG'!$D$5:$Q$215,13,0)*$H772</f>
        <v>38.006344315959097</v>
      </c>
      <c r="U772" s="384">
        <f>VLOOKUP($A772,'8.Non-elective admissions - CCG'!$D$5:$Q$215,14,0)*$H772</f>
        <v>32.259762240171888</v>
      </c>
    </row>
    <row r="773" spans="1:21">
      <c r="A773" s="395" t="s">
        <v>598</v>
      </c>
      <c r="B773" s="395" t="s">
        <v>597</v>
      </c>
      <c r="C773" s="395" t="s">
        <v>732</v>
      </c>
      <c r="D773" s="395" t="s">
        <v>312</v>
      </c>
      <c r="E773" s="537">
        <f>COUNTIF($D$5:D773,D773)</f>
        <v>5</v>
      </c>
      <c r="F773" s="537" t="str">
        <f t="shared" ref="F773:F836" si="24">D773&amp;E773</f>
        <v>Newham5</v>
      </c>
      <c r="G773" s="541" t="str">
        <f t="shared" ref="G773:G836" si="25">B773</f>
        <v>NHS Waltham Forest CCG</v>
      </c>
      <c r="H773" s="546">
        <v>1.7587065432937071E-2</v>
      </c>
      <c r="I773" s="546">
        <v>1.4377640918003809E-2</v>
      </c>
      <c r="J773" s="384">
        <f>VLOOKUP($A773,'8.Non-elective admissions - CCG'!$D$5:$N$215,3,0)*$H773</f>
        <v>129.38804039011802</v>
      </c>
      <c r="K773" s="384">
        <f>VLOOKUP($A773,'8.Non-elective admissions - CCG'!$D$5:$N$215,4,0)*$H773</f>
        <v>123.7777665170111</v>
      </c>
      <c r="L773" s="384">
        <f>VLOOKUP($A773,'8.Non-elective admissions - CCG'!$D$5:$N$215,5,0)*$H773</f>
        <v>134.73450828173091</v>
      </c>
      <c r="M773" s="384">
        <f>VLOOKUP($A773,'8.Non-elective admissions - CCG'!$D$5:$N$215,6,0)*$H773</f>
        <v>126.39823926651873</v>
      </c>
      <c r="N773" s="384">
        <f>VLOOKUP($A773,'8.Non-elective admissions - CCG'!$D$5:$N$215,7,0)*$H773</f>
        <v>133.04615000016895</v>
      </c>
      <c r="O773" s="384">
        <f>VLOOKUP($A773,'8.Non-elective admissions - CCG'!$D$5:$N$215,8,0)*$H773</f>
        <v>127.40070199619613</v>
      </c>
      <c r="P773" s="384">
        <f>VLOOKUP($A773,'8.Non-elective admissions - CCG'!$D$5:$N$215,9,0)*$H773</f>
        <v>138.46296615351355</v>
      </c>
      <c r="Q773" s="384">
        <f>VLOOKUP($A773,'8.Non-elective admissions - CCG'!$D$5:$N$215,10,0)*$H773</f>
        <v>130.02117474570377</v>
      </c>
      <c r="R773" s="384">
        <f>VLOOKUP($A773,'8.Non-elective admissions - CCG'!$D$5:$Q$215,11,0)*$H773</f>
        <v>139.44784181775805</v>
      </c>
      <c r="S773" s="384">
        <f>VLOOKUP($A773,'8.Non-elective admissions - CCG'!$D$5:$Q$215,12,0)*$H773</f>
        <v>131.28744345687522</v>
      </c>
      <c r="T773" s="384">
        <f>VLOOKUP($A773,'8.Non-elective admissions - CCG'!$D$5:$Q$215,13,0)*$H773</f>
        <v>140.62617520176482</v>
      </c>
      <c r="U773" s="384">
        <f>VLOOKUP($A773,'8.Non-elective admissions - CCG'!$D$5:$Q$215,14,0)*$H773</f>
        <v>119.36341309334389</v>
      </c>
    </row>
    <row r="774" spans="1:21">
      <c r="A774" s="395" t="s">
        <v>598</v>
      </c>
      <c r="B774" s="395" t="s">
        <v>597</v>
      </c>
      <c r="C774" s="395" t="s">
        <v>749</v>
      </c>
      <c r="D774" s="395" t="s">
        <v>363</v>
      </c>
      <c r="E774" s="537">
        <f>COUNTIF($D$5:D774,D774)</f>
        <v>5</v>
      </c>
      <c r="F774" s="537" t="str">
        <f t="shared" si="24"/>
        <v>Redbridge5</v>
      </c>
      <c r="G774" s="541" t="str">
        <f t="shared" si="25"/>
        <v>NHS Waltham Forest CCG</v>
      </c>
      <c r="H774" s="546">
        <v>3.3532311080932263E-2</v>
      </c>
      <c r="I774" s="546">
        <v>3.2344152733742387E-2</v>
      </c>
      <c r="J774" s="384">
        <f>VLOOKUP($A774,'8.Non-elective admissions - CCG'!$D$5:$N$215,3,0)*$H774</f>
        <v>246.69721262241865</v>
      </c>
      <c r="K774" s="384">
        <f>VLOOKUP($A774,'8.Non-elective admissions - CCG'!$D$5:$N$215,4,0)*$H774</f>
        <v>236.00040538760126</v>
      </c>
      <c r="L774" s="384">
        <f>VLOOKUP($A774,'8.Non-elective admissions - CCG'!$D$5:$N$215,5,0)*$H774</f>
        <v>256.89103519102207</v>
      </c>
      <c r="M774" s="384">
        <f>VLOOKUP($A774,'8.Non-elective admissions - CCG'!$D$5:$N$215,6,0)*$H774</f>
        <v>240.99671973866018</v>
      </c>
      <c r="N774" s="384">
        <f>VLOOKUP($A774,'8.Non-elective admissions - CCG'!$D$5:$N$215,7,0)*$H774</f>
        <v>253.67193332725256</v>
      </c>
      <c r="O774" s="384">
        <f>VLOOKUP($A774,'8.Non-elective admissions - CCG'!$D$5:$N$215,8,0)*$H774</f>
        <v>242.90806147027331</v>
      </c>
      <c r="P774" s="384">
        <f>VLOOKUP($A774,'8.Non-elective admissions - CCG'!$D$5:$N$215,9,0)*$H774</f>
        <v>263.99988514017969</v>
      </c>
      <c r="Q774" s="384">
        <f>VLOOKUP($A774,'8.Non-elective admissions - CCG'!$D$5:$N$215,10,0)*$H774</f>
        <v>247.90437582133222</v>
      </c>
      <c r="R774" s="384">
        <f>VLOOKUP($A774,'8.Non-elective admissions - CCG'!$D$5:$Q$215,11,0)*$H774</f>
        <v>265.87769456071192</v>
      </c>
      <c r="S774" s="384">
        <f>VLOOKUP($A774,'8.Non-elective admissions - CCG'!$D$5:$Q$215,12,0)*$H774</f>
        <v>250.31870221915935</v>
      </c>
      <c r="T774" s="384">
        <f>VLOOKUP($A774,'8.Non-elective admissions - CCG'!$D$5:$Q$215,13,0)*$H774</f>
        <v>268.12435940313435</v>
      </c>
      <c r="U774" s="384">
        <f>VLOOKUP($A774,'8.Non-elective admissions - CCG'!$D$5:$Q$215,14,0)*$H774</f>
        <v>227.58379530628727</v>
      </c>
    </row>
    <row r="775" spans="1:21">
      <c r="A775" s="395" t="s">
        <v>598</v>
      </c>
      <c r="B775" s="395" t="s">
        <v>597</v>
      </c>
      <c r="C775" s="395" t="s">
        <v>786</v>
      </c>
      <c r="D775" s="395" t="s">
        <v>474</v>
      </c>
      <c r="E775" s="537">
        <f>COUNTIF($D$5:D775,D775)</f>
        <v>4</v>
      </c>
      <c r="F775" s="537" t="str">
        <f t="shared" si="24"/>
        <v>Waltham Forest4</v>
      </c>
      <c r="G775" s="541" t="str">
        <f t="shared" si="25"/>
        <v>NHS Waltham Forest CCG</v>
      </c>
      <c r="H775" s="546">
        <v>0.94412745386182373</v>
      </c>
      <c r="I775" s="546">
        <v>0.97097909508142055</v>
      </c>
      <c r="J775" s="384">
        <f>VLOOKUP($A775,'8.Non-elective admissions - CCG'!$D$5:$N$215,3,0)*$H775</f>
        <v>6945.9456780614373</v>
      </c>
      <c r="K775" s="384">
        <f>VLOOKUP($A775,'8.Non-elective admissions - CCG'!$D$5:$N$215,4,0)*$H775</f>
        <v>6644.7690202795156</v>
      </c>
      <c r="L775" s="384">
        <f>VLOOKUP($A775,'8.Non-elective admissions - CCG'!$D$5:$N$215,5,0)*$H775</f>
        <v>7232.960424035432</v>
      </c>
      <c r="M775" s="384">
        <f>VLOOKUP($A775,'8.Non-elective admissions - CCG'!$D$5:$N$215,6,0)*$H775</f>
        <v>6785.4440109049274</v>
      </c>
      <c r="N775" s="384">
        <f>VLOOKUP($A775,'8.Non-elective admissions - CCG'!$D$5:$N$215,7,0)*$H775</f>
        <v>7142.3241884646968</v>
      </c>
      <c r="O775" s="384">
        <f>VLOOKUP($A775,'8.Non-elective admissions - CCG'!$D$5:$N$215,8,0)*$H775</f>
        <v>6839.2592757750508</v>
      </c>
      <c r="P775" s="384">
        <f>VLOOKUP($A775,'8.Non-elective admissions - CCG'!$D$5:$N$215,9,0)*$H775</f>
        <v>7433.1154442541383</v>
      </c>
      <c r="Q775" s="384">
        <f>VLOOKUP($A775,'8.Non-elective admissions - CCG'!$D$5:$N$215,10,0)*$H775</f>
        <v>6979.9342664004625</v>
      </c>
      <c r="R775" s="384">
        <f>VLOOKUP($A775,'8.Non-elective admissions - CCG'!$D$5:$Q$215,11,0)*$H775</f>
        <v>7485.9865816704005</v>
      </c>
      <c r="S775" s="384">
        <f>VLOOKUP($A775,'8.Non-elective admissions - CCG'!$D$5:$Q$215,12,0)*$H775</f>
        <v>7047.9114430785139</v>
      </c>
      <c r="T775" s="384">
        <f>VLOOKUP($A775,'8.Non-elective admissions - CCG'!$D$5:$Q$215,13,0)*$H775</f>
        <v>7549.2431210791428</v>
      </c>
      <c r="U775" s="384">
        <f>VLOOKUP($A775,'8.Non-elective admissions - CCG'!$D$5:$Q$215,14,0)*$H775</f>
        <v>6407.7930293601976</v>
      </c>
    </row>
    <row r="776" spans="1:21">
      <c r="A776" s="395" t="s">
        <v>600</v>
      </c>
      <c r="B776" s="395" t="s">
        <v>599</v>
      </c>
      <c r="C776" s="395" t="s">
        <v>679</v>
      </c>
      <c r="D776" s="395" t="s">
        <v>132</v>
      </c>
      <c r="E776" s="537">
        <f>COUNTIF($D$5:D776,D776)</f>
        <v>7</v>
      </c>
      <c r="F776" s="537" t="str">
        <f t="shared" si="24"/>
        <v>Croydon7</v>
      </c>
      <c r="G776" s="541" t="str">
        <f t="shared" si="25"/>
        <v>NHS Wandsworth CCG</v>
      </c>
      <c r="H776" s="546">
        <v>2.9849042139344457E-3</v>
      </c>
      <c r="I776" s="546">
        <v>2.7687349806213763E-3</v>
      </c>
      <c r="J776" s="384">
        <f>VLOOKUP($A776,'8.Non-elective admissions - CCG'!$D$5:$N$215,3,0)*$H776</f>
        <v>18.679530570801763</v>
      </c>
      <c r="K776" s="384">
        <f>VLOOKUP($A776,'8.Non-elective admissions - CCG'!$D$5:$N$215,4,0)*$H776</f>
        <v>18.655651337090287</v>
      </c>
      <c r="L776" s="384">
        <f>VLOOKUP($A776,'8.Non-elective admissions - CCG'!$D$5:$N$215,5,0)*$H776</f>
        <v>18.807881452000942</v>
      </c>
      <c r="M776" s="384">
        <f>VLOOKUP($A776,'8.Non-elective admissions - CCG'!$D$5:$N$215,6,0)*$H776</f>
        <v>17.906440379392741</v>
      </c>
      <c r="N776" s="384">
        <f>VLOOKUP($A776,'8.Non-elective admissions - CCG'!$D$5:$N$215,7,0)*$H776</f>
        <v>20.064526126067346</v>
      </c>
      <c r="O776" s="384">
        <f>VLOOKUP($A776,'8.Non-elective admissions - CCG'!$D$5:$N$215,8,0)*$H776</f>
        <v>19.963039382793571</v>
      </c>
      <c r="P776" s="384">
        <f>VLOOKUP($A776,'8.Non-elective admissions - CCG'!$D$5:$N$215,9,0)*$H776</f>
        <v>20.473458003376361</v>
      </c>
      <c r="Q776" s="384">
        <f>VLOOKUP($A776,'8.Non-elective admissions - CCG'!$D$5:$N$215,10,0)*$H776</f>
        <v>20.443608961237018</v>
      </c>
      <c r="R776" s="384">
        <f>VLOOKUP($A776,'8.Non-elective admissions - CCG'!$D$5:$Q$215,11,0)*$H776</f>
        <v>20.357046739032921</v>
      </c>
      <c r="S776" s="384">
        <f>VLOOKUP($A776,'8.Non-elective admissions - CCG'!$D$5:$Q$215,12,0)*$H776</f>
        <v>20.258544899973081</v>
      </c>
      <c r="T776" s="384">
        <f>VLOOKUP($A776,'8.Non-elective admissions - CCG'!$D$5:$Q$215,13,0)*$H776</f>
        <v>20.777918233197678</v>
      </c>
      <c r="U776" s="384">
        <f>VLOOKUP($A776,'8.Non-elective admissions - CCG'!$D$5:$Q$215,14,0)*$H776</f>
        <v>20.736129574202593</v>
      </c>
    </row>
    <row r="777" spans="1:21">
      <c r="A777" s="395" t="s">
        <v>600</v>
      </c>
      <c r="B777" s="395" t="s">
        <v>599</v>
      </c>
      <c r="C777" s="395" t="s">
        <v>714</v>
      </c>
      <c r="D777" s="395" t="s">
        <v>258</v>
      </c>
      <c r="E777" s="537">
        <f>COUNTIF($D$5:D777,D777)</f>
        <v>6</v>
      </c>
      <c r="F777" s="537" t="str">
        <f t="shared" si="24"/>
        <v>Kingston upon Thames6</v>
      </c>
      <c r="G777" s="541" t="str">
        <f t="shared" si="25"/>
        <v>NHS Wandsworth CCG</v>
      </c>
      <c r="H777" s="546">
        <v>2.4303318463182099E-3</v>
      </c>
      <c r="I777" s="546">
        <v>5.0341522746597447E-3</v>
      </c>
      <c r="J777" s="384">
        <f>VLOOKUP($A777,'8.Non-elective admissions - CCG'!$D$5:$N$215,3,0)*$H777</f>
        <v>15.209016694259358</v>
      </c>
      <c r="K777" s="384">
        <f>VLOOKUP($A777,'8.Non-elective admissions - CCG'!$D$5:$N$215,4,0)*$H777</f>
        <v>15.189574039488813</v>
      </c>
      <c r="L777" s="384">
        <f>VLOOKUP($A777,'8.Non-elective admissions - CCG'!$D$5:$N$215,5,0)*$H777</f>
        <v>15.31352096365104</v>
      </c>
      <c r="M777" s="384">
        <f>VLOOKUP($A777,'8.Non-elective admissions - CCG'!$D$5:$N$215,6,0)*$H777</f>
        <v>14.579560746062942</v>
      </c>
      <c r="N777" s="384">
        <f>VLOOKUP($A777,'8.Non-elective admissions - CCG'!$D$5:$N$215,7,0)*$H777</f>
        <v>16.336690670951008</v>
      </c>
      <c r="O777" s="384">
        <f>VLOOKUP($A777,'8.Non-elective admissions - CCG'!$D$5:$N$215,8,0)*$H777</f>
        <v>16.254059388176188</v>
      </c>
      <c r="P777" s="384">
        <f>VLOOKUP($A777,'8.Non-elective admissions - CCG'!$D$5:$N$215,9,0)*$H777</f>
        <v>16.669646133896602</v>
      </c>
      <c r="Q777" s="384">
        <f>VLOOKUP($A777,'8.Non-elective admissions - CCG'!$D$5:$N$215,10,0)*$H777</f>
        <v>16.64534281543342</v>
      </c>
      <c r="R777" s="384">
        <f>VLOOKUP($A777,'8.Non-elective admissions - CCG'!$D$5:$Q$215,11,0)*$H777</f>
        <v>16.574863191890191</v>
      </c>
      <c r="S777" s="384">
        <f>VLOOKUP($A777,'8.Non-elective admissions - CCG'!$D$5:$Q$215,12,0)*$H777</f>
        <v>16.494662240961691</v>
      </c>
      <c r="T777" s="384">
        <f>VLOOKUP($A777,'8.Non-elective admissions - CCG'!$D$5:$Q$215,13,0)*$H777</f>
        <v>16.917539982221058</v>
      </c>
      <c r="U777" s="384">
        <f>VLOOKUP($A777,'8.Non-elective admissions - CCG'!$D$5:$Q$215,14,0)*$H777</f>
        <v>16.883515336372604</v>
      </c>
    </row>
    <row r="778" spans="1:21">
      <c r="A778" s="395" t="s">
        <v>600</v>
      </c>
      <c r="B778" s="395" t="s">
        <v>599</v>
      </c>
      <c r="C778" s="395" t="s">
        <v>717</v>
      </c>
      <c r="D778" s="395" t="s">
        <v>267</v>
      </c>
      <c r="E778" s="537">
        <f>COUNTIF($D$5:D778,D778)</f>
        <v>6</v>
      </c>
      <c r="F778" s="537" t="str">
        <f t="shared" si="24"/>
        <v>Lambeth6</v>
      </c>
      <c r="G778" s="541" t="str">
        <f t="shared" si="25"/>
        <v>NHS Wandsworth CCG</v>
      </c>
      <c r="H778" s="546">
        <v>3.5231656295619689E-2</v>
      </c>
      <c r="I778" s="546">
        <v>3.7164913568634654E-2</v>
      </c>
      <c r="J778" s="384">
        <f>VLOOKUP($A778,'8.Non-elective admissions - CCG'!$D$5:$N$215,3,0)*$H778</f>
        <v>220.47970509798802</v>
      </c>
      <c r="K778" s="384">
        <f>VLOOKUP($A778,'8.Non-elective admissions - CCG'!$D$5:$N$215,4,0)*$H778</f>
        <v>220.19785184762304</v>
      </c>
      <c r="L778" s="384">
        <f>VLOOKUP($A778,'8.Non-elective admissions - CCG'!$D$5:$N$215,5,0)*$H778</f>
        <v>221.99466631869967</v>
      </c>
      <c r="M778" s="384">
        <f>VLOOKUP($A778,'8.Non-elective admissions - CCG'!$D$5:$N$215,6,0)*$H778</f>
        <v>211.35470611742252</v>
      </c>
      <c r="N778" s="384">
        <f>VLOOKUP($A778,'8.Non-elective admissions - CCG'!$D$5:$N$215,7,0)*$H778</f>
        <v>236.82719361915554</v>
      </c>
      <c r="O778" s="384">
        <f>VLOOKUP($A778,'8.Non-elective admissions - CCG'!$D$5:$N$215,8,0)*$H778</f>
        <v>235.62931730510448</v>
      </c>
      <c r="P778" s="384">
        <f>VLOOKUP($A778,'8.Non-elective admissions - CCG'!$D$5:$N$215,9,0)*$H778</f>
        <v>241.65393053165545</v>
      </c>
      <c r="Q778" s="384">
        <f>VLOOKUP($A778,'8.Non-elective admissions - CCG'!$D$5:$N$215,10,0)*$H778</f>
        <v>241.30161396869926</v>
      </c>
      <c r="R778" s="384">
        <f>VLOOKUP($A778,'8.Non-elective admissions - CCG'!$D$5:$Q$215,11,0)*$H778</f>
        <v>240.27989593612628</v>
      </c>
      <c r="S778" s="384">
        <f>VLOOKUP($A778,'8.Non-elective admissions - CCG'!$D$5:$Q$215,12,0)*$H778</f>
        <v>239.11725127837082</v>
      </c>
      <c r="T778" s="384">
        <f>VLOOKUP($A778,'8.Non-elective admissions - CCG'!$D$5:$Q$215,13,0)*$H778</f>
        <v>245.24755947380865</v>
      </c>
      <c r="U778" s="384">
        <f>VLOOKUP($A778,'8.Non-elective admissions - CCG'!$D$5:$Q$215,14,0)*$H778</f>
        <v>244.75431628566997</v>
      </c>
    </row>
    <row r="779" spans="1:21">
      <c r="A779" s="395" t="s">
        <v>600</v>
      </c>
      <c r="B779" s="395" t="s">
        <v>599</v>
      </c>
      <c r="C779" s="395" t="s">
        <v>728</v>
      </c>
      <c r="D779" s="395" t="s">
        <v>300</v>
      </c>
      <c r="E779" s="537">
        <f>COUNTIF($D$5:D779,D779)</f>
        <v>6</v>
      </c>
      <c r="F779" s="537" t="str">
        <f t="shared" si="24"/>
        <v>Merton6</v>
      </c>
      <c r="G779" s="541" t="str">
        <f t="shared" si="25"/>
        <v>NHS Wandsworth CCG</v>
      </c>
      <c r="H779" s="546">
        <v>6.2876001424489805E-2</v>
      </c>
      <c r="I779" s="546">
        <v>0.10060636113720986</v>
      </c>
      <c r="J779" s="384">
        <f>VLOOKUP($A779,'8.Non-elective admissions - CCG'!$D$5:$N$215,3,0)*$H779</f>
        <v>393.47801691445721</v>
      </c>
      <c r="K779" s="384">
        <f>VLOOKUP($A779,'8.Non-elective admissions - CCG'!$D$5:$N$215,4,0)*$H779</f>
        <v>392.97500890306128</v>
      </c>
      <c r="L779" s="384">
        <f>VLOOKUP($A779,'8.Non-elective admissions - CCG'!$D$5:$N$215,5,0)*$H779</f>
        <v>396.18168497571025</v>
      </c>
      <c r="M779" s="384">
        <f>VLOOKUP($A779,'8.Non-elective admissions - CCG'!$D$5:$N$215,6,0)*$H779</f>
        <v>377.19313254551435</v>
      </c>
      <c r="N779" s="384">
        <f>VLOOKUP($A779,'8.Non-elective admissions - CCG'!$D$5:$N$215,7,0)*$H779</f>
        <v>422.6524815754205</v>
      </c>
      <c r="O779" s="384">
        <f>VLOOKUP($A779,'8.Non-elective admissions - CCG'!$D$5:$N$215,8,0)*$H779</f>
        <v>420.51469752698785</v>
      </c>
      <c r="P779" s="384">
        <f>VLOOKUP($A779,'8.Non-elective admissions - CCG'!$D$5:$N$215,9,0)*$H779</f>
        <v>431.26649377057555</v>
      </c>
      <c r="Q779" s="384">
        <f>VLOOKUP($A779,'8.Non-elective admissions - CCG'!$D$5:$N$215,10,0)*$H779</f>
        <v>430.6377337563307</v>
      </c>
      <c r="R779" s="384">
        <f>VLOOKUP($A779,'8.Non-elective admissions - CCG'!$D$5:$Q$215,11,0)*$H779</f>
        <v>428.81432971502045</v>
      </c>
      <c r="S779" s="384">
        <f>VLOOKUP($A779,'8.Non-elective admissions - CCG'!$D$5:$Q$215,12,0)*$H779</f>
        <v>426.73942166801231</v>
      </c>
      <c r="T779" s="384">
        <f>VLOOKUP($A779,'8.Non-elective admissions - CCG'!$D$5:$Q$215,13,0)*$H779</f>
        <v>437.67984591587356</v>
      </c>
      <c r="U779" s="384">
        <f>VLOOKUP($A779,'8.Non-elective admissions - CCG'!$D$5:$Q$215,14,0)*$H779</f>
        <v>436.79958189593066</v>
      </c>
    </row>
    <row r="780" spans="1:21">
      <c r="A780" s="395" t="s">
        <v>600</v>
      </c>
      <c r="B780" s="395" t="s">
        <v>599</v>
      </c>
      <c r="C780" s="395" t="s">
        <v>751</v>
      </c>
      <c r="D780" s="395" t="s">
        <v>369</v>
      </c>
      <c r="E780" s="537">
        <f>COUNTIF($D$5:D780,D780)</f>
        <v>6</v>
      </c>
      <c r="F780" s="537" t="str">
        <f t="shared" si="24"/>
        <v>Richmond upon Thames6</v>
      </c>
      <c r="G780" s="541" t="str">
        <f t="shared" si="25"/>
        <v>NHS Wandsworth CCG</v>
      </c>
      <c r="H780" s="546">
        <v>3.4035519816447415E-3</v>
      </c>
      <c r="I780" s="546">
        <v>5.9575642508077455E-3</v>
      </c>
      <c r="J780" s="384">
        <f>VLOOKUP($A780,'8.Non-elective admissions - CCG'!$D$5:$N$215,3,0)*$H780</f>
        <v>21.299428301132792</v>
      </c>
      <c r="K780" s="384">
        <f>VLOOKUP($A780,'8.Non-elective admissions - CCG'!$D$5:$N$215,4,0)*$H780</f>
        <v>21.272199885279633</v>
      </c>
      <c r="L780" s="384">
        <f>VLOOKUP($A780,'8.Non-elective admissions - CCG'!$D$5:$N$215,5,0)*$H780</f>
        <v>21.445781036343515</v>
      </c>
      <c r="M780" s="384">
        <f>VLOOKUP($A780,'8.Non-elective admissions - CCG'!$D$5:$N$215,6,0)*$H780</f>
        <v>20.417908337886804</v>
      </c>
      <c r="N780" s="384">
        <f>VLOOKUP($A780,'8.Non-elective admissions - CCG'!$D$5:$N$215,7,0)*$H780</f>
        <v>22.878676420615953</v>
      </c>
      <c r="O780" s="384">
        <f>VLOOKUP($A780,'8.Non-elective admissions - CCG'!$D$5:$N$215,8,0)*$H780</f>
        <v>22.762955653240031</v>
      </c>
      <c r="P780" s="384">
        <f>VLOOKUP($A780,'8.Non-elective admissions - CCG'!$D$5:$N$215,9,0)*$H780</f>
        <v>23.344963042101281</v>
      </c>
      <c r="Q780" s="384">
        <f>VLOOKUP($A780,'8.Non-elective admissions - CCG'!$D$5:$N$215,10,0)*$H780</f>
        <v>23.310927522284835</v>
      </c>
      <c r="R780" s="384">
        <f>VLOOKUP($A780,'8.Non-elective admissions - CCG'!$D$5:$Q$215,11,0)*$H780</f>
        <v>23.212224514817137</v>
      </c>
      <c r="S780" s="384">
        <f>VLOOKUP($A780,'8.Non-elective admissions - CCG'!$D$5:$Q$215,12,0)*$H780</f>
        <v>23.09990729942286</v>
      </c>
      <c r="T780" s="384">
        <f>VLOOKUP($A780,'8.Non-elective admissions - CCG'!$D$5:$Q$215,13,0)*$H780</f>
        <v>23.692125344229044</v>
      </c>
      <c r="U780" s="384">
        <f>VLOOKUP($A780,'8.Non-elective admissions - CCG'!$D$5:$Q$215,14,0)*$H780</f>
        <v>23.644475616486019</v>
      </c>
    </row>
    <row r="781" spans="1:21">
      <c r="A781" s="395" t="s">
        <v>600</v>
      </c>
      <c r="B781" s="395" t="s">
        <v>599</v>
      </c>
      <c r="C781" s="395" t="s">
        <v>776</v>
      </c>
      <c r="D781" s="395" t="s">
        <v>444</v>
      </c>
      <c r="E781" s="537">
        <f>COUNTIF($D$5:D781,D781)</f>
        <v>7</v>
      </c>
      <c r="F781" s="537" t="str">
        <f t="shared" si="24"/>
        <v>Sutton7</v>
      </c>
      <c r="G781" s="541" t="str">
        <f t="shared" si="25"/>
        <v>NHS Wandsworth CCG</v>
      </c>
      <c r="H781" s="546">
        <v>1.035745451283264E-3</v>
      </c>
      <c r="I781" s="546">
        <v>1.8580290262172284E-3</v>
      </c>
      <c r="J781" s="384">
        <f>VLOOKUP($A781,'8.Non-elective admissions - CCG'!$D$5:$N$215,3,0)*$H781</f>
        <v>6.4816950341306665</v>
      </c>
      <c r="K781" s="384">
        <f>VLOOKUP($A781,'8.Non-elective admissions - CCG'!$D$5:$N$215,4,0)*$H781</f>
        <v>6.4734090705204004</v>
      </c>
      <c r="L781" s="384">
        <f>VLOOKUP($A781,'8.Non-elective admissions - CCG'!$D$5:$N$215,5,0)*$H781</f>
        <v>6.5262320885358465</v>
      </c>
      <c r="M781" s="384">
        <f>VLOOKUP($A781,'8.Non-elective admissions - CCG'!$D$5:$N$215,6,0)*$H781</f>
        <v>6.2134369622483012</v>
      </c>
      <c r="N781" s="384">
        <f>VLOOKUP($A781,'8.Non-elective admissions - CCG'!$D$5:$N$215,7,0)*$H781</f>
        <v>6.9622809235261007</v>
      </c>
      <c r="O781" s="384">
        <f>VLOOKUP($A781,'8.Non-elective admissions - CCG'!$D$5:$N$215,8,0)*$H781</f>
        <v>6.9270655781824697</v>
      </c>
      <c r="P781" s="384">
        <f>VLOOKUP($A781,'8.Non-elective admissions - CCG'!$D$5:$N$215,9,0)*$H781</f>
        <v>7.1041780503519076</v>
      </c>
      <c r="Q781" s="384">
        <f>VLOOKUP($A781,'8.Non-elective admissions - CCG'!$D$5:$N$215,10,0)*$H781</f>
        <v>7.093820595839075</v>
      </c>
      <c r="R781" s="384">
        <f>VLOOKUP($A781,'8.Non-elective admissions - CCG'!$D$5:$Q$215,11,0)*$H781</f>
        <v>7.0637839777518607</v>
      </c>
      <c r="S781" s="384">
        <f>VLOOKUP($A781,'8.Non-elective admissions - CCG'!$D$5:$Q$215,12,0)*$H781</f>
        <v>7.0296043778595134</v>
      </c>
      <c r="T781" s="384">
        <f>VLOOKUP($A781,'8.Non-elective admissions - CCG'!$D$5:$Q$215,13,0)*$H781</f>
        <v>7.2098240863828007</v>
      </c>
      <c r="U781" s="384">
        <f>VLOOKUP($A781,'8.Non-elective admissions - CCG'!$D$5:$Q$215,14,0)*$H781</f>
        <v>7.195323650064835</v>
      </c>
    </row>
    <row r="782" spans="1:21">
      <c r="A782" s="395" t="s">
        <v>600</v>
      </c>
      <c r="B782" s="395" t="s">
        <v>599</v>
      </c>
      <c r="C782" s="395" t="s">
        <v>787</v>
      </c>
      <c r="D782" s="395" t="s">
        <v>477</v>
      </c>
      <c r="E782" s="537">
        <f>COUNTIF($D$5:D782,D782)</f>
        <v>6</v>
      </c>
      <c r="F782" s="537" t="str">
        <f t="shared" si="24"/>
        <v>Wandsworth6</v>
      </c>
      <c r="G782" s="541" t="str">
        <f t="shared" si="25"/>
        <v>NHS Wandsworth CCG</v>
      </c>
      <c r="H782" s="546">
        <v>0.8920378087867098</v>
      </c>
      <c r="I782" s="546">
        <v>0.9379898807992455</v>
      </c>
      <c r="J782" s="384">
        <f>VLOOKUP($A782,'8.Non-elective admissions - CCG'!$D$5:$N$215,3,0)*$H782</f>
        <v>5582.3726073872303</v>
      </c>
      <c r="K782" s="384">
        <f>VLOOKUP($A782,'8.Non-elective admissions - CCG'!$D$5:$N$215,4,0)*$H782</f>
        <v>5575.2363049169362</v>
      </c>
      <c r="L782" s="384">
        <f>VLOOKUP($A782,'8.Non-elective admissions - CCG'!$D$5:$N$215,5,0)*$H782</f>
        <v>5620.7302331650581</v>
      </c>
      <c r="M782" s="384">
        <f>VLOOKUP($A782,'8.Non-elective admissions - CCG'!$D$5:$N$215,6,0)*$H782</f>
        <v>5351.3348149114718</v>
      </c>
      <c r="N782" s="384">
        <f>VLOOKUP($A782,'8.Non-elective admissions - CCG'!$D$5:$N$215,7,0)*$H782</f>
        <v>5996.2781506642632</v>
      </c>
      <c r="O782" s="384">
        <f>VLOOKUP($A782,'8.Non-elective admissions - CCG'!$D$5:$N$215,8,0)*$H782</f>
        <v>5965.9488651655147</v>
      </c>
      <c r="P782" s="384">
        <f>VLOOKUP($A782,'8.Non-elective admissions - CCG'!$D$5:$N$215,9,0)*$H782</f>
        <v>6118.4873304680423</v>
      </c>
      <c r="Q782" s="384">
        <f>VLOOKUP($A782,'8.Non-elective admissions - CCG'!$D$5:$N$215,10,0)*$H782</f>
        <v>6109.5669523801753</v>
      </c>
      <c r="R782" s="384">
        <f>VLOOKUP($A782,'8.Non-elective admissions - CCG'!$D$5:$Q$215,11,0)*$H782</f>
        <v>6083.6978559253612</v>
      </c>
      <c r="S782" s="384">
        <f>VLOOKUP($A782,'8.Non-elective admissions - CCG'!$D$5:$Q$215,12,0)*$H782</f>
        <v>6054.2606082353996</v>
      </c>
      <c r="T782" s="384">
        <f>VLOOKUP($A782,'8.Non-elective admissions - CCG'!$D$5:$Q$215,13,0)*$H782</f>
        <v>6209.4751869642869</v>
      </c>
      <c r="U782" s="384">
        <f>VLOOKUP($A782,'8.Non-elective admissions - CCG'!$D$5:$Q$215,14,0)*$H782</f>
        <v>6196.9866576412733</v>
      </c>
    </row>
    <row r="783" spans="1:21">
      <c r="A783" s="395" t="s">
        <v>602</v>
      </c>
      <c r="B783" s="395" t="s">
        <v>601</v>
      </c>
      <c r="C783" s="395" t="s">
        <v>673</v>
      </c>
      <c r="D783" s="395" t="s">
        <v>110</v>
      </c>
      <c r="E783" s="537">
        <f>COUNTIF($D$5:D783,D783)</f>
        <v>9</v>
      </c>
      <c r="F783" s="537" t="str">
        <f t="shared" si="24"/>
        <v>Cheshire East9</v>
      </c>
      <c r="G783" s="541" t="str">
        <f t="shared" si="25"/>
        <v>NHS Warrington CCG</v>
      </c>
      <c r="H783" s="546">
        <v>7.3525943952384995E-3</v>
      </c>
      <c r="I783" s="546">
        <v>4.0127977102085693E-3</v>
      </c>
      <c r="J783" s="384">
        <f>VLOOKUP($A783,'8.Non-elective admissions - CCG'!$D$5:$N$215,3,0)*$H783</f>
        <v>43.328838771140475</v>
      </c>
      <c r="K783" s="384">
        <f>VLOOKUP($A783,'8.Non-elective admissions - CCG'!$D$5:$N$215,4,0)*$H783</f>
        <v>42.81415716347378</v>
      </c>
      <c r="L783" s="384">
        <f>VLOOKUP($A783,'8.Non-elective admissions - CCG'!$D$5:$N$215,5,0)*$H783</f>
        <v>43.490595847835728</v>
      </c>
      <c r="M783" s="384">
        <f>VLOOKUP($A783,'8.Non-elective admissions - CCG'!$D$5:$N$215,6,0)*$H783</f>
        <v>43.15237650565475</v>
      </c>
      <c r="N783" s="384">
        <f>VLOOKUP($A783,'8.Non-elective admissions - CCG'!$D$5:$N$215,7,0)*$H783</f>
        <v>40.95395078147844</v>
      </c>
      <c r="O783" s="384">
        <f>VLOOKUP($A783,'8.Non-elective admissions - CCG'!$D$5:$N$215,8,0)*$H783</f>
        <v>42.578874142826152</v>
      </c>
      <c r="P783" s="384">
        <f>VLOOKUP($A783,'8.Non-elective admissions - CCG'!$D$5:$N$215,9,0)*$H783</f>
        <v>43.056792778516652</v>
      </c>
      <c r="Q783" s="384">
        <f>VLOOKUP($A783,'8.Non-elective admissions - CCG'!$D$5:$N$215,10,0)*$H783</f>
        <v>42.747983813916633</v>
      </c>
      <c r="R783" s="384">
        <f>VLOOKUP($A783,'8.Non-elective admissions - CCG'!$D$5:$Q$215,11,0)*$H783</f>
        <v>39.726067517473616</v>
      </c>
      <c r="S783" s="384">
        <f>VLOOKUP($A783,'8.Non-elective admissions - CCG'!$D$5:$Q$215,12,0)*$H783</f>
        <v>41.299522718054654</v>
      </c>
      <c r="T783" s="384">
        <f>VLOOKUP($A783,'8.Non-elective admissions - CCG'!$D$5:$Q$215,13,0)*$H783</f>
        <v>41.755383570559438</v>
      </c>
      <c r="U783" s="384">
        <f>VLOOKUP($A783,'8.Non-elective admissions - CCG'!$D$5:$Q$215,14,0)*$H783</f>
        <v>41.468632389145135</v>
      </c>
    </row>
    <row r="784" spans="1:21">
      <c r="A784" s="395" t="s">
        <v>602</v>
      </c>
      <c r="B784" s="395" t="s">
        <v>601</v>
      </c>
      <c r="C784" s="395" t="s">
        <v>674</v>
      </c>
      <c r="D784" s="395" t="s">
        <v>114</v>
      </c>
      <c r="E784" s="537">
        <f>COUNTIF($D$5:D784,D784)</f>
        <v>5</v>
      </c>
      <c r="F784" s="537" t="str">
        <f t="shared" si="24"/>
        <v>Cheshire West and Chester5</v>
      </c>
      <c r="G784" s="541" t="str">
        <f t="shared" si="25"/>
        <v>NHS Warrington CCG</v>
      </c>
      <c r="H784" s="546">
        <v>4.0795344142920478E-3</v>
      </c>
      <c r="I784" s="546">
        <v>2.4775729523504003E-3</v>
      </c>
      <c r="J784" s="384">
        <f>VLOOKUP($A784,'8.Non-elective admissions - CCG'!$D$5:$N$215,3,0)*$H784</f>
        <v>24.040696303423037</v>
      </c>
      <c r="K784" s="384">
        <f>VLOOKUP($A784,'8.Non-elective admissions - CCG'!$D$5:$N$215,4,0)*$H784</f>
        <v>23.755128894422594</v>
      </c>
      <c r="L784" s="384">
        <f>VLOOKUP($A784,'8.Non-elective admissions - CCG'!$D$5:$N$215,5,0)*$H784</f>
        <v>24.130446060537462</v>
      </c>
      <c r="M784" s="384">
        <f>VLOOKUP($A784,'8.Non-elective admissions - CCG'!$D$5:$N$215,6,0)*$H784</f>
        <v>23.942787477480028</v>
      </c>
      <c r="N784" s="384">
        <f>VLOOKUP($A784,'8.Non-elective admissions - CCG'!$D$5:$N$215,7,0)*$H784</f>
        <v>22.723006687606706</v>
      </c>
      <c r="O784" s="384">
        <f>VLOOKUP($A784,'8.Non-elective admissions - CCG'!$D$5:$N$215,8,0)*$H784</f>
        <v>23.62458379316525</v>
      </c>
      <c r="P784" s="384">
        <f>VLOOKUP($A784,'8.Non-elective admissions - CCG'!$D$5:$N$215,9,0)*$H784</f>
        <v>23.889753530094232</v>
      </c>
      <c r="Q784" s="384">
        <f>VLOOKUP($A784,'8.Non-elective admissions - CCG'!$D$5:$N$215,10,0)*$H784</f>
        <v>23.718413084693967</v>
      </c>
      <c r="R784" s="384">
        <f>VLOOKUP($A784,'8.Non-elective admissions - CCG'!$D$5:$Q$215,11,0)*$H784</f>
        <v>22.041724440419934</v>
      </c>
      <c r="S784" s="384">
        <f>VLOOKUP($A784,'8.Non-elective admissions - CCG'!$D$5:$Q$215,12,0)*$H784</f>
        <v>22.914744805078431</v>
      </c>
      <c r="T784" s="384">
        <f>VLOOKUP($A784,'8.Non-elective admissions - CCG'!$D$5:$Q$215,13,0)*$H784</f>
        <v>23.167675938764539</v>
      </c>
      <c r="U784" s="384">
        <f>VLOOKUP($A784,'8.Non-elective admissions - CCG'!$D$5:$Q$215,14,0)*$H784</f>
        <v>23.008574096607148</v>
      </c>
    </row>
    <row r="785" spans="1:21">
      <c r="A785" s="395" t="s">
        <v>602</v>
      </c>
      <c r="B785" s="395" t="s">
        <v>601</v>
      </c>
      <c r="C785" s="395" t="s">
        <v>697</v>
      </c>
      <c r="D785" s="395" t="s">
        <v>198</v>
      </c>
      <c r="E785" s="537">
        <f>COUNTIF($D$5:D785,D785)</f>
        <v>4</v>
      </c>
      <c r="F785" s="537" t="str">
        <f t="shared" si="24"/>
        <v>Halton4</v>
      </c>
      <c r="G785" s="541" t="str">
        <f t="shared" si="25"/>
        <v>NHS Warrington CCG</v>
      </c>
      <c r="H785" s="546">
        <v>5.5085505154833653E-3</v>
      </c>
      <c r="I785" s="546">
        <v>8.8954555493781558E-3</v>
      </c>
      <c r="J785" s="384">
        <f>VLOOKUP($A785,'8.Non-elective admissions - CCG'!$D$5:$N$215,3,0)*$H785</f>
        <v>32.461888187743469</v>
      </c>
      <c r="K785" s="384">
        <f>VLOOKUP($A785,'8.Non-elective admissions - CCG'!$D$5:$N$215,4,0)*$H785</f>
        <v>32.076289651659636</v>
      </c>
      <c r="L785" s="384">
        <f>VLOOKUP($A785,'8.Non-elective admissions - CCG'!$D$5:$N$215,5,0)*$H785</f>
        <v>32.583076299084105</v>
      </c>
      <c r="M785" s="384">
        <f>VLOOKUP($A785,'8.Non-elective admissions - CCG'!$D$5:$N$215,6,0)*$H785</f>
        <v>32.329682975371874</v>
      </c>
      <c r="N785" s="384">
        <f>VLOOKUP($A785,'8.Non-elective admissions - CCG'!$D$5:$N$215,7,0)*$H785</f>
        <v>30.682626371242346</v>
      </c>
      <c r="O785" s="384">
        <f>VLOOKUP($A785,'8.Non-elective admissions - CCG'!$D$5:$N$215,8,0)*$H785</f>
        <v>31.900016035164168</v>
      </c>
      <c r="P785" s="384">
        <f>VLOOKUP($A785,'8.Non-elective admissions - CCG'!$D$5:$N$215,9,0)*$H785</f>
        <v>32.258071818670587</v>
      </c>
      <c r="Q785" s="384">
        <f>VLOOKUP($A785,'8.Non-elective admissions - CCG'!$D$5:$N$215,10,0)*$H785</f>
        <v>32.026712697020287</v>
      </c>
      <c r="R785" s="384">
        <f>VLOOKUP($A785,'8.Non-elective admissions - CCG'!$D$5:$Q$215,11,0)*$H785</f>
        <v>29.762698435156622</v>
      </c>
      <c r="S785" s="384">
        <f>VLOOKUP($A785,'8.Non-elective admissions - CCG'!$D$5:$Q$215,12,0)*$H785</f>
        <v>30.941528245470064</v>
      </c>
      <c r="T785" s="384">
        <f>VLOOKUP($A785,'8.Non-elective admissions - CCG'!$D$5:$Q$215,13,0)*$H785</f>
        <v>31.283058377430031</v>
      </c>
      <c r="U785" s="384">
        <f>VLOOKUP($A785,'8.Non-elective admissions - CCG'!$D$5:$Q$215,14,0)*$H785</f>
        <v>31.068224907326179</v>
      </c>
    </row>
    <row r="786" spans="1:21">
      <c r="A786" s="395" t="s">
        <v>602</v>
      </c>
      <c r="B786" s="395" t="s">
        <v>601</v>
      </c>
      <c r="C786" s="395" t="s">
        <v>783</v>
      </c>
      <c r="D786" s="395" t="s">
        <v>465</v>
      </c>
      <c r="E786" s="537">
        <f>COUNTIF($D$5:D786,D786)</f>
        <v>5</v>
      </c>
      <c r="F786" s="537" t="str">
        <f t="shared" si="24"/>
        <v>Trafford5</v>
      </c>
      <c r="G786" s="541" t="str">
        <f t="shared" si="25"/>
        <v>NHS Warrington CCG</v>
      </c>
      <c r="H786" s="546">
        <v>1.3346916060631786E-3</v>
      </c>
      <c r="I786" s="546">
        <v>1.1701951703605687E-3</v>
      </c>
      <c r="J786" s="384">
        <f>VLOOKUP($A786,'8.Non-elective admissions - CCG'!$D$5:$N$215,3,0)*$H786</f>
        <v>7.8653376345303121</v>
      </c>
      <c r="K786" s="384">
        <f>VLOOKUP($A786,'8.Non-elective admissions - CCG'!$D$5:$N$215,4,0)*$H786</f>
        <v>7.7719092221058892</v>
      </c>
      <c r="L786" s="384">
        <f>VLOOKUP($A786,'8.Non-elective admissions - CCG'!$D$5:$N$215,5,0)*$H786</f>
        <v>7.8947008498637015</v>
      </c>
      <c r="M786" s="384">
        <f>VLOOKUP($A786,'8.Non-elective admissions - CCG'!$D$5:$N$215,6,0)*$H786</f>
        <v>7.8333050359847958</v>
      </c>
      <c r="N786" s="384">
        <f>VLOOKUP($A786,'8.Non-elective admissions - CCG'!$D$5:$N$215,7,0)*$H786</f>
        <v>7.4342322457719048</v>
      </c>
      <c r="O786" s="384">
        <f>VLOOKUP($A786,'8.Non-elective admissions - CCG'!$D$5:$N$215,8,0)*$H786</f>
        <v>7.7291990907118677</v>
      </c>
      <c r="P786" s="384">
        <f>VLOOKUP($A786,'8.Non-elective admissions - CCG'!$D$5:$N$215,9,0)*$H786</f>
        <v>7.8159540451059737</v>
      </c>
      <c r="Q786" s="384">
        <f>VLOOKUP($A786,'8.Non-elective admissions - CCG'!$D$5:$N$215,10,0)*$H786</f>
        <v>7.759896997651321</v>
      </c>
      <c r="R786" s="384">
        <f>VLOOKUP($A786,'8.Non-elective admissions - CCG'!$D$5:$Q$215,11,0)*$H786</f>
        <v>7.2113387475593544</v>
      </c>
      <c r="S786" s="384">
        <f>VLOOKUP($A786,'8.Non-elective admissions - CCG'!$D$5:$Q$215,12,0)*$H786</f>
        <v>7.4969627512568744</v>
      </c>
      <c r="T786" s="384">
        <f>VLOOKUP($A786,'8.Non-elective admissions - CCG'!$D$5:$Q$215,13,0)*$H786</f>
        <v>7.5797136308327913</v>
      </c>
      <c r="U786" s="384">
        <f>VLOOKUP($A786,'8.Non-elective admissions - CCG'!$D$5:$Q$215,14,0)*$H786</f>
        <v>7.5276606581963277</v>
      </c>
    </row>
    <row r="787" spans="1:21">
      <c r="A787" s="395" t="s">
        <v>602</v>
      </c>
      <c r="B787" s="395" t="s">
        <v>601</v>
      </c>
      <c r="C787" s="395" t="s">
        <v>788</v>
      </c>
      <c r="D787" s="395" t="s">
        <v>480</v>
      </c>
      <c r="E787" s="537">
        <f>COUNTIF($D$5:D787,D787)</f>
        <v>4</v>
      </c>
      <c r="F787" s="537" t="str">
        <f t="shared" si="24"/>
        <v>Warrington4</v>
      </c>
      <c r="G787" s="541" t="str">
        <f t="shared" si="25"/>
        <v>NHS Warrington CCG</v>
      </c>
      <c r="H787" s="546">
        <v>0.97833837969382265</v>
      </c>
      <c r="I787" s="546">
        <v>0.96962232401607917</v>
      </c>
      <c r="J787" s="384">
        <f>VLOOKUP($A787,'8.Non-elective admissions - CCG'!$D$5:$N$215,3,0)*$H787</f>
        <v>5765.3480715356973</v>
      </c>
      <c r="K787" s="384">
        <f>VLOOKUP($A787,'8.Non-elective admissions - CCG'!$D$5:$N$215,4,0)*$H787</f>
        <v>5696.864384957129</v>
      </c>
      <c r="L787" s="384">
        <f>VLOOKUP($A787,'8.Non-elective admissions - CCG'!$D$5:$N$215,5,0)*$H787</f>
        <v>5786.8715158889609</v>
      </c>
      <c r="M787" s="384">
        <f>VLOOKUP($A787,'8.Non-elective admissions - CCG'!$D$5:$N$215,6,0)*$H787</f>
        <v>5741.8679504230449</v>
      </c>
      <c r="N787" s="384">
        <f>VLOOKUP($A787,'8.Non-elective admissions - CCG'!$D$5:$N$215,7,0)*$H787</f>
        <v>5449.3447748945919</v>
      </c>
      <c r="O787" s="384">
        <f>VLOOKUP($A787,'8.Non-elective admissions - CCG'!$D$5:$N$215,8,0)*$H787</f>
        <v>5665.5575568069271</v>
      </c>
      <c r="P787" s="384">
        <f>VLOOKUP($A787,'8.Non-elective admissions - CCG'!$D$5:$N$215,9,0)*$H787</f>
        <v>5729.1495514870257</v>
      </c>
      <c r="Q787" s="384">
        <f>VLOOKUP($A787,'8.Non-elective admissions - CCG'!$D$5:$N$215,10,0)*$H787</f>
        <v>5688.0593395398846</v>
      </c>
      <c r="R787" s="384">
        <f>VLOOKUP($A787,'8.Non-elective admissions - CCG'!$D$5:$Q$215,11,0)*$H787</f>
        <v>5285.9622654857239</v>
      </c>
      <c r="S787" s="384">
        <f>VLOOKUP($A787,'8.Non-elective admissions - CCG'!$D$5:$Q$215,12,0)*$H787</f>
        <v>5495.3266787402017</v>
      </c>
      <c r="T787" s="384">
        <f>VLOOKUP($A787,'8.Non-elective admissions - CCG'!$D$5:$Q$215,13,0)*$H787</f>
        <v>5555.9836582812186</v>
      </c>
      <c r="U787" s="384">
        <f>VLOOKUP($A787,'8.Non-elective admissions - CCG'!$D$5:$Q$215,14,0)*$H787</f>
        <v>5517.8284614731601</v>
      </c>
    </row>
    <row r="788" spans="1:21">
      <c r="A788" s="395" t="s">
        <v>602</v>
      </c>
      <c r="B788" s="395" t="s">
        <v>601</v>
      </c>
      <c r="C788" s="395" t="s">
        <v>793</v>
      </c>
      <c r="D788" s="395" t="s">
        <v>495</v>
      </c>
      <c r="E788" s="537">
        <f>COUNTIF($D$5:D788,D788)</f>
        <v>4</v>
      </c>
      <c r="F788" s="537" t="str">
        <f t="shared" si="24"/>
        <v>Wigan4</v>
      </c>
      <c r="G788" s="541" t="str">
        <f t="shared" si="25"/>
        <v>NHS Warrington CCG</v>
      </c>
      <c r="H788" s="546">
        <v>3.38624937510022E-3</v>
      </c>
      <c r="I788" s="546">
        <v>2.2072408567045711E-3</v>
      </c>
      <c r="J788" s="384">
        <f>VLOOKUP($A788,'8.Non-elective admissions - CCG'!$D$5:$N$215,3,0)*$H788</f>
        <v>19.955167567465598</v>
      </c>
      <c r="K788" s="384">
        <f>VLOOKUP($A788,'8.Non-elective admissions - CCG'!$D$5:$N$215,4,0)*$H788</f>
        <v>19.718130111208581</v>
      </c>
      <c r="L788" s="384">
        <f>VLOOKUP($A788,'8.Non-elective admissions - CCG'!$D$5:$N$215,5,0)*$H788</f>
        <v>20.0296650537178</v>
      </c>
      <c r="M788" s="384">
        <f>VLOOKUP($A788,'8.Non-elective admissions - CCG'!$D$5:$N$215,6,0)*$H788</f>
        <v>19.87389758246319</v>
      </c>
      <c r="N788" s="384">
        <f>VLOOKUP($A788,'8.Non-elective admissions - CCG'!$D$5:$N$215,7,0)*$H788</f>
        <v>18.861409019308226</v>
      </c>
      <c r="O788" s="384">
        <f>VLOOKUP($A788,'8.Non-elective admissions - CCG'!$D$5:$N$215,8,0)*$H788</f>
        <v>19.609770131205373</v>
      </c>
      <c r="P788" s="384">
        <f>VLOOKUP($A788,'8.Non-elective admissions - CCG'!$D$5:$N$215,9,0)*$H788</f>
        <v>19.829876340586889</v>
      </c>
      <c r="Q788" s="384">
        <f>VLOOKUP($A788,'8.Non-elective admissions - CCG'!$D$5:$N$215,10,0)*$H788</f>
        <v>19.687653866832679</v>
      </c>
      <c r="R788" s="384">
        <f>VLOOKUP($A788,'8.Non-elective admissions - CCG'!$D$5:$Q$215,11,0)*$H788</f>
        <v>18.295905373666489</v>
      </c>
      <c r="S788" s="384">
        <f>VLOOKUP($A788,'8.Non-elective admissions - CCG'!$D$5:$Q$215,12,0)*$H788</f>
        <v>19.020562739937937</v>
      </c>
      <c r="T788" s="384">
        <f>VLOOKUP($A788,'8.Non-elective admissions - CCG'!$D$5:$Q$215,13,0)*$H788</f>
        <v>19.23051020119415</v>
      </c>
      <c r="U788" s="384">
        <f>VLOOKUP($A788,'8.Non-elective admissions - CCG'!$D$5:$Q$215,14,0)*$H788</f>
        <v>19.09844647556524</v>
      </c>
    </row>
    <row r="789" spans="1:21">
      <c r="A789" s="395" t="s">
        <v>604</v>
      </c>
      <c r="B789" s="395" t="s">
        <v>603</v>
      </c>
      <c r="C789" s="395" t="s">
        <v>678</v>
      </c>
      <c r="D789" s="395" t="s">
        <v>128</v>
      </c>
      <c r="E789" s="537">
        <f>COUNTIF($D$5:D789,D789)</f>
        <v>2</v>
      </c>
      <c r="F789" s="537" t="str">
        <f t="shared" si="24"/>
        <v>Coventry2</v>
      </c>
      <c r="G789" s="541" t="str">
        <f t="shared" si="25"/>
        <v>NHS Warwickshire North CCG</v>
      </c>
      <c r="H789" s="546">
        <v>2.346561552323967E-3</v>
      </c>
      <c r="I789" s="546">
        <v>1.2242022802542705E-3</v>
      </c>
      <c r="J789" s="384">
        <f>VLOOKUP($A789,'8.Non-elective admissions - CCG'!$D$5:$N$215,3,0)*$H789</f>
        <v>9.9635003511675642</v>
      </c>
      <c r="K789" s="384">
        <f>VLOOKUP($A789,'8.Non-elective admissions - CCG'!$D$5:$N$215,4,0)*$H789</f>
        <v>9.3135028011738257</v>
      </c>
      <c r="L789" s="384">
        <f>VLOOKUP($A789,'8.Non-elective admissions - CCG'!$D$5:$N$215,5,0)*$H789</f>
        <v>9.7851616731909417</v>
      </c>
      <c r="M789" s="384">
        <f>VLOOKUP($A789,'8.Non-elective admissions - CCG'!$D$5:$N$215,6,0)*$H789</f>
        <v>10.127759659830241</v>
      </c>
      <c r="N789" s="384">
        <f>VLOOKUP($A789,'8.Non-elective admissions - CCG'!$D$5:$N$215,7,0)*$H789</f>
        <v>9.5183155460232367</v>
      </c>
      <c r="O789" s="384">
        <f>VLOOKUP($A789,'8.Non-elective admissions - CCG'!$D$5:$N$215,8,0)*$H789</f>
        <v>9.6229124201736944</v>
      </c>
      <c r="P789" s="384">
        <f>VLOOKUP($A789,'8.Non-elective admissions - CCG'!$D$5:$N$215,9,0)*$H789</f>
        <v>9.6229124201736944</v>
      </c>
      <c r="Q789" s="384">
        <f>VLOOKUP($A789,'8.Non-elective admissions - CCG'!$D$5:$N$215,10,0)*$H789</f>
        <v>9.4137186719220569</v>
      </c>
      <c r="R789" s="384">
        <f>VLOOKUP($A789,'8.Non-elective admissions - CCG'!$D$5:$Q$215,11,0)*$H789</f>
        <v>9.1247339453229319</v>
      </c>
      <c r="S789" s="384">
        <f>VLOOKUP($A789,'8.Non-elective admissions - CCG'!$D$5:$Q$215,12,0)*$H789</f>
        <v>9.2318391404367599</v>
      </c>
      <c r="T789" s="384">
        <f>VLOOKUP($A789,'8.Non-elective admissions - CCG'!$D$5:$Q$215,13,0)*$H789</f>
        <v>9.2318391404367599</v>
      </c>
      <c r="U789" s="384">
        <f>VLOOKUP($A789,'8.Non-elective admissions - CCG'!$D$5:$Q$215,14,0)*$H789</f>
        <v>9.0660699064890213</v>
      </c>
    </row>
    <row r="790" spans="1:21">
      <c r="A790" s="395" t="s">
        <v>604</v>
      </c>
      <c r="B790" s="395" t="s">
        <v>603</v>
      </c>
      <c r="C790" s="395" t="s">
        <v>721</v>
      </c>
      <c r="D790" s="395" t="s">
        <v>279</v>
      </c>
      <c r="E790" s="537">
        <f>COUNTIF($D$5:D790,D790)</f>
        <v>7</v>
      </c>
      <c r="F790" s="537" t="str">
        <f t="shared" si="24"/>
        <v>Leicestershire7</v>
      </c>
      <c r="G790" s="541" t="str">
        <f t="shared" si="25"/>
        <v>NHS Warwickshire North CCG</v>
      </c>
      <c r="H790" s="546">
        <v>1.5739929113152178E-2</v>
      </c>
      <c r="I790" s="546">
        <v>4.2446666373019718E-3</v>
      </c>
      <c r="J790" s="384">
        <f>VLOOKUP($A790,'8.Non-elective admissions - CCG'!$D$5:$N$215,3,0)*$H790</f>
        <v>66.831739014444153</v>
      </c>
      <c r="K790" s="384">
        <f>VLOOKUP($A790,'8.Non-elective admissions - CCG'!$D$5:$N$215,4,0)*$H790</f>
        <v>62.471778650100994</v>
      </c>
      <c r="L790" s="384">
        <f>VLOOKUP($A790,'8.Non-elective admissions - CCG'!$D$5:$N$215,5,0)*$H790</f>
        <v>65.635504401844585</v>
      </c>
      <c r="M790" s="384">
        <f>VLOOKUP($A790,'8.Non-elective admissions - CCG'!$D$5:$N$215,6,0)*$H790</f>
        <v>67.933534052364806</v>
      </c>
      <c r="N790" s="384">
        <f>VLOOKUP($A790,'8.Non-elective admissions - CCG'!$D$5:$N$215,7,0)*$H790</f>
        <v>63.845592212420371</v>
      </c>
      <c r="O790" s="384">
        <f>VLOOKUP($A790,'8.Non-elective admissions - CCG'!$D$5:$N$215,8,0)*$H790</f>
        <v>64.547192126965555</v>
      </c>
      <c r="P790" s="384">
        <f>VLOOKUP($A790,'8.Non-elective admissions - CCG'!$D$5:$N$215,9,0)*$H790</f>
        <v>64.547192126965555</v>
      </c>
      <c r="Q790" s="384">
        <f>VLOOKUP($A790,'8.Non-elective admissions - CCG'!$D$5:$N$215,10,0)*$H790</f>
        <v>63.143992298205731</v>
      </c>
      <c r="R790" s="384">
        <f>VLOOKUP($A790,'8.Non-elective admissions - CCG'!$D$5:$Q$215,11,0)*$H790</f>
        <v>61.205581985913213</v>
      </c>
      <c r="S790" s="384">
        <f>VLOOKUP($A790,'8.Non-elective admissions - CCG'!$D$5:$Q$215,12,0)*$H790</f>
        <v>61.924006856154698</v>
      </c>
      <c r="T790" s="384">
        <f>VLOOKUP($A790,'8.Non-elective admissions - CCG'!$D$5:$Q$215,13,0)*$H790</f>
        <v>61.924006856154698</v>
      </c>
      <c r="U790" s="384">
        <f>VLOOKUP($A790,'8.Non-elective admissions - CCG'!$D$5:$Q$215,14,0)*$H790</f>
        <v>60.812083757911282</v>
      </c>
    </row>
    <row r="791" spans="1:21">
      <c r="A791" s="395" t="s">
        <v>604</v>
      </c>
      <c r="B791" s="395" t="s">
        <v>603</v>
      </c>
      <c r="C791" s="395" t="s">
        <v>761</v>
      </c>
      <c r="D791" s="395" t="s">
        <v>399</v>
      </c>
      <c r="E791" s="537">
        <f>COUNTIF($D$5:D791,D791)</f>
        <v>6</v>
      </c>
      <c r="F791" s="537" t="str">
        <f t="shared" si="24"/>
        <v>Solihull6</v>
      </c>
      <c r="G791" s="541" t="str">
        <f t="shared" si="25"/>
        <v>NHS Warwickshire North CCG</v>
      </c>
      <c r="H791" s="546">
        <v>2.1451165930757381E-3</v>
      </c>
      <c r="I791" s="546">
        <v>1.7909742172442637E-3</v>
      </c>
      <c r="J791" s="384">
        <f>VLOOKUP($A791,'8.Non-elective admissions - CCG'!$D$5:$N$215,3,0)*$H791</f>
        <v>9.1081650541995849</v>
      </c>
      <c r="K791" s="384">
        <f>VLOOKUP($A791,'8.Non-elective admissions - CCG'!$D$5:$N$215,4,0)*$H791</f>
        <v>8.5139677579176052</v>
      </c>
      <c r="L791" s="384">
        <f>VLOOKUP($A791,'8.Non-elective admissions - CCG'!$D$5:$N$215,5,0)*$H791</f>
        <v>8.945136193125828</v>
      </c>
      <c r="M791" s="384">
        <f>VLOOKUP($A791,'8.Non-elective admissions - CCG'!$D$5:$N$215,6,0)*$H791</f>
        <v>9.2583232157148849</v>
      </c>
      <c r="N791" s="384">
        <f>VLOOKUP($A791,'8.Non-elective admissions - CCG'!$D$5:$N$215,7,0)*$H791</f>
        <v>8.7011979701465343</v>
      </c>
      <c r="O791" s="384">
        <f>VLOOKUP($A791,'8.Non-elective admissions - CCG'!$D$5:$N$215,8,0)*$H791</f>
        <v>8.7968155302747935</v>
      </c>
      <c r="P791" s="384">
        <f>VLOOKUP($A791,'8.Non-elective admissions - CCG'!$D$5:$N$215,9,0)*$H791</f>
        <v>8.7968155302747935</v>
      </c>
      <c r="Q791" s="384">
        <f>VLOOKUP($A791,'8.Non-elective admissions - CCG'!$D$5:$N$215,10,0)*$H791</f>
        <v>8.6055804100633218</v>
      </c>
      <c r="R791" s="384">
        <f>VLOOKUP($A791,'8.Non-elective admissions - CCG'!$D$5:$Q$215,11,0)*$H791</f>
        <v>8.3414041170701516</v>
      </c>
      <c r="S791" s="384">
        <f>VLOOKUP($A791,'8.Non-elective admissions - CCG'!$D$5:$Q$215,12,0)*$H791</f>
        <v>8.4393146666637691</v>
      </c>
      <c r="T791" s="384">
        <f>VLOOKUP($A791,'8.Non-elective admissions - CCG'!$D$5:$Q$215,13,0)*$H791</f>
        <v>8.4393146666637691</v>
      </c>
      <c r="U791" s="384">
        <f>VLOOKUP($A791,'8.Non-elective admissions - CCG'!$D$5:$Q$215,14,0)*$H791</f>
        <v>8.2877762022196642</v>
      </c>
    </row>
    <row r="792" spans="1:21">
      <c r="A792" s="395" t="s">
        <v>604</v>
      </c>
      <c r="B792" s="395" t="s">
        <v>603</v>
      </c>
      <c r="C792" s="395" t="s">
        <v>769</v>
      </c>
      <c r="D792" s="395" t="s">
        <v>423</v>
      </c>
      <c r="E792" s="537">
        <f>COUNTIF($D$5:D792,D792)</f>
        <v>16</v>
      </c>
      <c r="F792" s="537" t="str">
        <f t="shared" si="24"/>
        <v>Staffordshire16</v>
      </c>
      <c r="G792" s="541" t="str">
        <f t="shared" si="25"/>
        <v>NHS Warwickshire North CCG</v>
      </c>
      <c r="H792" s="546">
        <v>1.1574918469236087E-2</v>
      </c>
      <c r="I792" s="546">
        <v>2.4445998031441736E-3</v>
      </c>
      <c r="J792" s="384">
        <f>VLOOKUP($A792,'8.Non-elective admissions - CCG'!$D$5:$N$215,3,0)*$H792</f>
        <v>49.147103820376429</v>
      </c>
      <c r="K792" s="384">
        <f>VLOOKUP($A792,'8.Non-elective admissions - CCG'!$D$5:$N$215,4,0)*$H792</f>
        <v>45.940851404398032</v>
      </c>
      <c r="L792" s="384">
        <f>VLOOKUP($A792,'8.Non-elective admissions - CCG'!$D$5:$N$215,5,0)*$H792</f>
        <v>48.267410016714486</v>
      </c>
      <c r="M792" s="384">
        <f>VLOOKUP($A792,'8.Non-elective admissions - CCG'!$D$5:$N$215,6,0)*$H792</f>
        <v>49.957348113222956</v>
      </c>
      <c r="N792" s="384">
        <f>VLOOKUP($A792,'8.Non-elective admissions - CCG'!$D$5:$N$215,7,0)*$H792</f>
        <v>46.95113422469931</v>
      </c>
      <c r="O792" s="384">
        <f>VLOOKUP($A792,'8.Non-elective admissions - CCG'!$D$5:$N$215,8,0)*$H792</f>
        <v>47.467080754731491</v>
      </c>
      <c r="P792" s="384">
        <f>VLOOKUP($A792,'8.Non-elective admissions - CCG'!$D$5:$N$215,9,0)*$H792</f>
        <v>47.467080754731491</v>
      </c>
      <c r="Q792" s="384">
        <f>VLOOKUP($A792,'8.Non-elective admissions - CCG'!$D$5:$N$215,10,0)*$H792</f>
        <v>46.435187694910198</v>
      </c>
      <c r="R792" s="384">
        <f>VLOOKUP($A792,'8.Non-elective admissions - CCG'!$D$5:$Q$215,11,0)*$H792</f>
        <v>45.009708509875992</v>
      </c>
      <c r="S792" s="384">
        <f>VLOOKUP($A792,'8.Non-elective admissions - CCG'!$D$5:$Q$215,12,0)*$H792</f>
        <v>45.538027871388749</v>
      </c>
      <c r="T792" s="384">
        <f>VLOOKUP($A792,'8.Non-elective admissions - CCG'!$D$5:$Q$215,13,0)*$H792</f>
        <v>45.538027871388749</v>
      </c>
      <c r="U792" s="384">
        <f>VLOOKUP($A792,'8.Non-elective admissions - CCG'!$D$5:$Q$215,14,0)*$H792</f>
        <v>44.720335548017772</v>
      </c>
    </row>
    <row r="793" spans="1:21">
      <c r="A793" s="395" t="s">
        <v>604</v>
      </c>
      <c r="B793" s="395" t="s">
        <v>603</v>
      </c>
      <c r="C793" s="395" t="s">
        <v>789</v>
      </c>
      <c r="D793" s="395" t="s">
        <v>483</v>
      </c>
      <c r="E793" s="537">
        <f>COUNTIF($D$5:D793,D793)</f>
        <v>10</v>
      </c>
      <c r="F793" s="537" t="str">
        <f t="shared" si="24"/>
        <v>Warwickshire10</v>
      </c>
      <c r="G793" s="541" t="str">
        <f t="shared" si="25"/>
        <v>NHS Warwickshire North CCG</v>
      </c>
      <c r="H793" s="546">
        <v>0.96819347427221203</v>
      </c>
      <c r="I793" s="546">
        <v>0.3095146097453999</v>
      </c>
      <c r="J793" s="384">
        <f>VLOOKUP($A793,'8.Non-elective admissions - CCG'!$D$5:$N$215,3,0)*$H793</f>
        <v>4110.9494917598122</v>
      </c>
      <c r="K793" s="384">
        <f>VLOOKUP($A793,'8.Non-elective admissions - CCG'!$D$5:$N$215,4,0)*$H793</f>
        <v>3842.7598993864094</v>
      </c>
      <c r="L793" s="384">
        <f>VLOOKUP($A793,'8.Non-elective admissions - CCG'!$D$5:$N$215,5,0)*$H793</f>
        <v>4037.3667877151242</v>
      </c>
      <c r="M793" s="384">
        <f>VLOOKUP($A793,'8.Non-elective admissions - CCG'!$D$5:$N$215,6,0)*$H793</f>
        <v>4178.7230349588672</v>
      </c>
      <c r="N793" s="384">
        <f>VLOOKUP($A793,'8.Non-elective admissions - CCG'!$D$5:$N$215,7,0)*$H793</f>
        <v>3927.2658279927105</v>
      </c>
      <c r="O793" s="384">
        <f>VLOOKUP($A793,'8.Non-elective admissions - CCG'!$D$5:$N$215,8,0)*$H793</f>
        <v>3970.4225953408545</v>
      </c>
      <c r="P793" s="384">
        <f>VLOOKUP($A793,'8.Non-elective admissions - CCG'!$D$5:$N$215,9,0)*$H793</f>
        <v>3970.4225953408545</v>
      </c>
      <c r="Q793" s="384">
        <f>VLOOKUP($A793,'8.Non-elective admissions - CCG'!$D$5:$N$215,10,0)*$H793</f>
        <v>3884.1090606648991</v>
      </c>
      <c r="R793" s="384">
        <f>VLOOKUP($A793,'8.Non-elective admissions - CCG'!$D$5:$Q$215,11,0)*$H793</f>
        <v>3764.8736942708174</v>
      </c>
      <c r="S793" s="384">
        <f>VLOOKUP($A793,'8.Non-elective admissions - CCG'!$D$5:$Q$215,12,0)*$H793</f>
        <v>3809.0653971763563</v>
      </c>
      <c r="T793" s="384">
        <f>VLOOKUP($A793,'8.Non-elective admissions - CCG'!$D$5:$Q$215,13,0)*$H793</f>
        <v>3809.0653971763563</v>
      </c>
      <c r="U793" s="384">
        <f>VLOOKUP($A793,'8.Non-elective admissions - CCG'!$D$5:$Q$215,14,0)*$H793</f>
        <v>3740.6688574033624</v>
      </c>
    </row>
    <row r="794" spans="1:21">
      <c r="A794" s="395" t="s">
        <v>606</v>
      </c>
      <c r="B794" s="395" t="s">
        <v>605</v>
      </c>
      <c r="C794" s="395" t="s">
        <v>673</v>
      </c>
      <c r="D794" s="395" t="s">
        <v>110</v>
      </c>
      <c r="E794" s="537">
        <f>COUNTIF($D$5:D794,D794)</f>
        <v>10</v>
      </c>
      <c r="F794" s="537" t="str">
        <f t="shared" si="24"/>
        <v>Cheshire East10</v>
      </c>
      <c r="G794" s="541" t="str">
        <f t="shared" si="25"/>
        <v>NHS West Cheshire CCG</v>
      </c>
      <c r="H794" s="546">
        <v>2.010674096753462E-2</v>
      </c>
      <c r="I794" s="546">
        <v>1.2965017361334548E-2</v>
      </c>
      <c r="J794" s="384">
        <f>VLOOKUP($A794,'8.Non-elective admissions - CCG'!$D$5:$N$215,3,0)*$H794</f>
        <v>123.09346820324694</v>
      </c>
      <c r="K794" s="384">
        <f>VLOOKUP($A794,'8.Non-elective admissions - CCG'!$D$5:$N$215,4,0)*$H794</f>
        <v>123.79720413711065</v>
      </c>
      <c r="L794" s="384">
        <f>VLOOKUP($A794,'8.Non-elective admissions - CCG'!$D$5:$N$215,5,0)*$H794</f>
        <v>127.21535010159154</v>
      </c>
      <c r="M794" s="384">
        <f>VLOOKUP($A794,'8.Non-elective admissions - CCG'!$D$5:$N$215,6,0)*$H794</f>
        <v>120.84151321488307</v>
      </c>
      <c r="N794" s="384">
        <f>VLOOKUP($A794,'8.Non-elective admissions - CCG'!$D$5:$N$215,7,0)*$H794</f>
        <v>116.11642908751243</v>
      </c>
      <c r="O794" s="384">
        <f>VLOOKUP($A794,'8.Non-elective admissions - CCG'!$D$5:$N$215,8,0)*$H794</f>
        <v>116.739738057506</v>
      </c>
      <c r="P794" s="384">
        <f>VLOOKUP($A794,'8.Non-elective admissions - CCG'!$D$5:$N$215,9,0)*$H794</f>
        <v>116.23706953331764</v>
      </c>
      <c r="Q794" s="384">
        <f>VLOOKUP($A794,'8.Non-elective admissions - CCG'!$D$5:$N$215,10,0)*$H794</f>
        <v>109.64205849596628</v>
      </c>
      <c r="R794" s="384">
        <f>VLOOKUP($A794,'8.Non-elective admissions - CCG'!$D$5:$Q$215,11,0)*$H794</f>
        <v>112.63796290012894</v>
      </c>
      <c r="S794" s="384">
        <f>VLOOKUP($A794,'8.Non-elective admissions - CCG'!$D$5:$Q$215,12,0)*$H794</f>
        <v>113.22105838818744</v>
      </c>
      <c r="T794" s="384">
        <f>VLOOKUP($A794,'8.Non-elective admissions - CCG'!$D$5:$Q$215,13,0)*$H794</f>
        <v>112.77871008690168</v>
      </c>
      <c r="U794" s="384">
        <f>VLOOKUP($A794,'8.Non-elective admissions - CCG'!$D$5:$Q$215,14,0)*$H794</f>
        <v>106.40487320019321</v>
      </c>
    </row>
    <row r="795" spans="1:21">
      <c r="A795" s="395" t="s">
        <v>606</v>
      </c>
      <c r="B795" s="395" t="s">
        <v>605</v>
      </c>
      <c r="C795" s="395" t="s">
        <v>674</v>
      </c>
      <c r="D795" s="395" t="s">
        <v>114</v>
      </c>
      <c r="E795" s="537">
        <f>COUNTIF($D$5:D795,D795)</f>
        <v>6</v>
      </c>
      <c r="F795" s="537" t="str">
        <f t="shared" si="24"/>
        <v>Cheshire West and Chester6</v>
      </c>
      <c r="G795" s="541" t="str">
        <f t="shared" si="25"/>
        <v>NHS West Cheshire CCG</v>
      </c>
      <c r="H795" s="546">
        <v>0.96802960325412257</v>
      </c>
      <c r="I795" s="546">
        <v>0.69459115749916933</v>
      </c>
      <c r="J795" s="384">
        <f>VLOOKUP($A795,'8.Non-elective admissions - CCG'!$D$5:$N$215,3,0)*$H795</f>
        <v>5926.2772311217386</v>
      </c>
      <c r="K795" s="384">
        <f>VLOOKUP($A795,'8.Non-elective admissions - CCG'!$D$5:$N$215,4,0)*$H795</f>
        <v>5960.1582672356326</v>
      </c>
      <c r="L795" s="384">
        <f>VLOOKUP($A795,'8.Non-elective admissions - CCG'!$D$5:$N$215,5,0)*$H795</f>
        <v>6124.7232997888332</v>
      </c>
      <c r="M795" s="384">
        <f>VLOOKUP($A795,'8.Non-elective admissions - CCG'!$D$5:$N$215,6,0)*$H795</f>
        <v>5817.857915557277</v>
      </c>
      <c r="N795" s="384">
        <f>VLOOKUP($A795,'8.Non-elective admissions - CCG'!$D$5:$N$215,7,0)*$H795</f>
        <v>5590.3709587925578</v>
      </c>
      <c r="O795" s="384">
        <f>VLOOKUP($A795,'8.Non-elective admissions - CCG'!$D$5:$N$215,8,0)*$H795</f>
        <v>5620.3798764934354</v>
      </c>
      <c r="P795" s="384">
        <f>VLOOKUP($A795,'8.Non-elective admissions - CCG'!$D$5:$N$215,9,0)*$H795</f>
        <v>5596.1791364120827</v>
      </c>
      <c r="Q795" s="384">
        <f>VLOOKUP($A795,'8.Non-elective admissions - CCG'!$D$5:$N$215,10,0)*$H795</f>
        <v>5278.6654265447305</v>
      </c>
      <c r="R795" s="384">
        <f>VLOOKUP($A795,'8.Non-elective admissions - CCG'!$D$5:$Q$215,11,0)*$H795</f>
        <v>5422.9018374295947</v>
      </c>
      <c r="S795" s="384">
        <f>VLOOKUP($A795,'8.Non-elective admissions - CCG'!$D$5:$Q$215,12,0)*$H795</f>
        <v>5450.9746959239646</v>
      </c>
      <c r="T795" s="384">
        <f>VLOOKUP($A795,'8.Non-elective admissions - CCG'!$D$5:$Q$215,13,0)*$H795</f>
        <v>5429.6780446523735</v>
      </c>
      <c r="U795" s="384">
        <f>VLOOKUP($A795,'8.Non-elective admissions - CCG'!$D$5:$Q$215,14,0)*$H795</f>
        <v>5122.8126604208164</v>
      </c>
    </row>
    <row r="796" spans="1:21">
      <c r="A796" s="395" t="s">
        <v>606</v>
      </c>
      <c r="B796" s="395" t="s">
        <v>605</v>
      </c>
      <c r="C796" s="395" t="s">
        <v>697</v>
      </c>
      <c r="D796" s="395" t="s">
        <v>198</v>
      </c>
      <c r="E796" s="537">
        <f>COUNTIF($D$5:D796,D796)</f>
        <v>5</v>
      </c>
      <c r="F796" s="537" t="str">
        <f t="shared" si="24"/>
        <v>Halton5</v>
      </c>
      <c r="G796" s="541" t="str">
        <f t="shared" si="25"/>
        <v>NHS West Cheshire CCG</v>
      </c>
      <c r="H796" s="546">
        <v>6.5305992104202184E-3</v>
      </c>
      <c r="I796" s="546">
        <v>1.2459730546902964E-2</v>
      </c>
      <c r="J796" s="384">
        <f>VLOOKUP($A796,'8.Non-elective admissions - CCG'!$D$5:$N$215,3,0)*$H796</f>
        <v>39.980328366192573</v>
      </c>
      <c r="K796" s="384">
        <f>VLOOKUP($A796,'8.Non-elective admissions - CCG'!$D$5:$N$215,4,0)*$H796</f>
        <v>40.208899338557288</v>
      </c>
      <c r="L796" s="384">
        <f>VLOOKUP($A796,'8.Non-elective admissions - CCG'!$D$5:$N$215,5,0)*$H796</f>
        <v>41.319101204328724</v>
      </c>
      <c r="M796" s="384">
        <f>VLOOKUP($A796,'8.Non-elective admissions - CCG'!$D$5:$N$215,6,0)*$H796</f>
        <v>39.248901254625515</v>
      </c>
      <c r="N796" s="384">
        <f>VLOOKUP($A796,'8.Non-elective admissions - CCG'!$D$5:$N$215,7,0)*$H796</f>
        <v>37.714210440176764</v>
      </c>
      <c r="O796" s="384">
        <f>VLOOKUP($A796,'8.Non-elective admissions - CCG'!$D$5:$N$215,8,0)*$H796</f>
        <v>37.916659015699786</v>
      </c>
      <c r="P796" s="384">
        <f>VLOOKUP($A796,'8.Non-elective admissions - CCG'!$D$5:$N$215,9,0)*$H796</f>
        <v>37.753394035439285</v>
      </c>
      <c r="Q796" s="384">
        <f>VLOOKUP($A796,'8.Non-elective admissions - CCG'!$D$5:$N$215,10,0)*$H796</f>
        <v>35.611357494421448</v>
      </c>
      <c r="R796" s="384">
        <f>VLOOKUP($A796,'8.Non-elective admissions - CCG'!$D$5:$Q$215,11,0)*$H796</f>
        <v>36.584416776774063</v>
      </c>
      <c r="S796" s="384">
        <f>VLOOKUP($A796,'8.Non-elective admissions - CCG'!$D$5:$Q$215,12,0)*$H796</f>
        <v>36.773804153876249</v>
      </c>
      <c r="T796" s="384">
        <f>VLOOKUP($A796,'8.Non-elective admissions - CCG'!$D$5:$Q$215,13,0)*$H796</f>
        <v>36.630130971247006</v>
      </c>
      <c r="U796" s="384">
        <f>VLOOKUP($A796,'8.Non-elective admissions - CCG'!$D$5:$Q$215,14,0)*$H796</f>
        <v>34.559931021543797</v>
      </c>
    </row>
    <row r="797" spans="1:21">
      <c r="A797" s="395" t="s">
        <v>606</v>
      </c>
      <c r="B797" s="395" t="s">
        <v>605</v>
      </c>
      <c r="C797" s="395" t="s">
        <v>759</v>
      </c>
      <c r="D797" s="395" t="s">
        <v>393</v>
      </c>
      <c r="E797" s="537">
        <f>COUNTIF($D$5:D797,D797)</f>
        <v>8</v>
      </c>
      <c r="F797" s="537" t="str">
        <f t="shared" si="24"/>
        <v>Shropshire8</v>
      </c>
      <c r="G797" s="541" t="str">
        <f t="shared" si="25"/>
        <v>NHS West Cheshire CCG</v>
      </c>
      <c r="H797" s="546">
        <v>1.5847480969051508E-3</v>
      </c>
      <c r="I797" s="546">
        <v>1.3300634544126614E-3</v>
      </c>
      <c r="J797" s="384">
        <f>VLOOKUP($A797,'8.Non-elective admissions - CCG'!$D$5:$N$215,3,0)*$H797</f>
        <v>9.7018278492533323</v>
      </c>
      <c r="K797" s="384">
        <f>VLOOKUP($A797,'8.Non-elective admissions - CCG'!$D$5:$N$215,4,0)*$H797</f>
        <v>9.7572940326450137</v>
      </c>
      <c r="L797" s="384">
        <f>VLOOKUP($A797,'8.Non-elective admissions - CCG'!$D$5:$N$215,5,0)*$H797</f>
        <v>10.026701209118889</v>
      </c>
      <c r="M797" s="384">
        <f>VLOOKUP($A797,'8.Non-elective admissions - CCG'!$D$5:$N$215,6,0)*$H797</f>
        <v>9.5243360623999553</v>
      </c>
      <c r="N797" s="384">
        <f>VLOOKUP($A797,'8.Non-elective admissions - CCG'!$D$5:$N$215,7,0)*$H797</f>
        <v>9.1519202596272464</v>
      </c>
      <c r="O797" s="384">
        <f>VLOOKUP($A797,'8.Non-elective admissions - CCG'!$D$5:$N$215,8,0)*$H797</f>
        <v>9.2010474506313056</v>
      </c>
      <c r="P797" s="384">
        <f>VLOOKUP($A797,'8.Non-elective admissions - CCG'!$D$5:$N$215,9,0)*$H797</f>
        <v>9.1614287482086763</v>
      </c>
      <c r="Q797" s="384">
        <f>VLOOKUP($A797,'8.Non-elective admissions - CCG'!$D$5:$N$215,10,0)*$H797</f>
        <v>8.6416313724237863</v>
      </c>
      <c r="R797" s="384">
        <f>VLOOKUP($A797,'8.Non-elective admissions - CCG'!$D$5:$Q$215,11,0)*$H797</f>
        <v>8.877758838862654</v>
      </c>
      <c r="S797" s="384">
        <f>VLOOKUP($A797,'8.Non-elective admissions - CCG'!$D$5:$Q$215,12,0)*$H797</f>
        <v>8.9237165336729039</v>
      </c>
      <c r="T797" s="384">
        <f>VLOOKUP($A797,'8.Non-elective admissions - CCG'!$D$5:$Q$215,13,0)*$H797</f>
        <v>8.8888520755409903</v>
      </c>
      <c r="U797" s="384">
        <f>VLOOKUP($A797,'8.Non-elective admissions - CCG'!$D$5:$Q$215,14,0)*$H797</f>
        <v>8.3864869288220572</v>
      </c>
    </row>
    <row r="798" spans="1:21">
      <c r="A798" s="395" t="s">
        <v>606</v>
      </c>
      <c r="B798" s="395" t="s">
        <v>605</v>
      </c>
      <c r="C798" s="395" t="s">
        <v>796</v>
      </c>
      <c r="D798" s="395" t="s">
        <v>504</v>
      </c>
      <c r="E798" s="537">
        <f>COUNTIF($D$5:D798,D798)</f>
        <v>1</v>
      </c>
      <c r="F798" s="537" t="str">
        <f t="shared" si="24"/>
        <v>Wirral1</v>
      </c>
      <c r="G798" s="541" t="str">
        <f t="shared" si="25"/>
        <v>NHS West Cheshire CCG</v>
      </c>
      <c r="H798" s="546">
        <v>3.7483084710174725E-3</v>
      </c>
      <c r="I798" s="546">
        <v>2.8207939678868074E-3</v>
      </c>
      <c r="J798" s="384">
        <f>VLOOKUP($A798,'8.Non-elective admissions - CCG'!$D$5:$N$215,3,0)*$H798</f>
        <v>22.947144459568968</v>
      </c>
      <c r="K798" s="384">
        <f>VLOOKUP($A798,'8.Non-elective admissions - CCG'!$D$5:$N$215,4,0)*$H798</f>
        <v>23.078335256054579</v>
      </c>
      <c r="L798" s="384">
        <f>VLOOKUP($A798,'8.Non-elective admissions - CCG'!$D$5:$N$215,5,0)*$H798</f>
        <v>23.715547696127548</v>
      </c>
      <c r="M798" s="384">
        <f>VLOOKUP($A798,'8.Non-elective admissions - CCG'!$D$5:$N$215,6,0)*$H798</f>
        <v>22.52733391081501</v>
      </c>
      <c r="N798" s="384">
        <f>VLOOKUP($A798,'8.Non-elective admissions - CCG'!$D$5:$N$215,7,0)*$H798</f>
        <v>21.646481420125905</v>
      </c>
      <c r="O798" s="384">
        <f>VLOOKUP($A798,'8.Non-elective admissions - CCG'!$D$5:$N$215,8,0)*$H798</f>
        <v>21.762678982727447</v>
      </c>
      <c r="P798" s="384">
        <f>VLOOKUP($A798,'8.Non-elective admissions - CCG'!$D$5:$N$215,9,0)*$H798</f>
        <v>21.66897127095201</v>
      </c>
      <c r="Q798" s="384">
        <f>VLOOKUP($A798,'8.Non-elective admissions - CCG'!$D$5:$N$215,10,0)*$H798</f>
        <v>20.439526092458276</v>
      </c>
      <c r="R798" s="384">
        <f>VLOOKUP($A798,'8.Non-elective admissions - CCG'!$D$5:$Q$215,11,0)*$H798</f>
        <v>20.998024054639881</v>
      </c>
      <c r="S798" s="384">
        <f>VLOOKUP($A798,'8.Non-elective admissions - CCG'!$D$5:$Q$215,12,0)*$H798</f>
        <v>21.106725000299388</v>
      </c>
      <c r="T798" s="384">
        <f>VLOOKUP($A798,'8.Non-elective admissions - CCG'!$D$5:$Q$215,13,0)*$H798</f>
        <v>21.024262213937003</v>
      </c>
      <c r="U798" s="384">
        <f>VLOOKUP($A798,'8.Non-elective admissions - CCG'!$D$5:$Q$215,14,0)*$H798</f>
        <v>19.836048428624466</v>
      </c>
    </row>
    <row r="799" spans="1:21">
      <c r="A799" s="395" t="s">
        <v>608</v>
      </c>
      <c r="B799" s="395" t="s">
        <v>607</v>
      </c>
      <c r="C799" s="395" t="s">
        <v>670</v>
      </c>
      <c r="D799" s="395" t="s">
        <v>98</v>
      </c>
      <c r="E799" s="537">
        <f>COUNTIF($D$5:D799,D799)</f>
        <v>5</v>
      </c>
      <c r="F799" s="537" t="str">
        <f t="shared" si="24"/>
        <v>Cambridgeshire5</v>
      </c>
      <c r="G799" s="541" t="str">
        <f t="shared" si="25"/>
        <v>NHS West Essex CCG</v>
      </c>
      <c r="H799" s="546">
        <v>2.4837174771369756E-3</v>
      </c>
      <c r="I799" s="546">
        <v>1.0949317750391257E-3</v>
      </c>
      <c r="J799" s="384">
        <f>VLOOKUP($A799,'8.Non-elective admissions - CCG'!$D$5:$N$215,3,0)*$H799</f>
        <v>16.007559140147809</v>
      </c>
      <c r="K799" s="384">
        <f>VLOOKUP($A799,'8.Non-elective admissions - CCG'!$D$5:$N$215,4,0)*$H799</f>
        <v>16.658293119157694</v>
      </c>
      <c r="L799" s="384">
        <f>VLOOKUP($A799,'8.Non-elective admissions - CCG'!$D$5:$N$215,5,0)*$H799</f>
        <v>17.373603752573146</v>
      </c>
      <c r="M799" s="384">
        <f>VLOOKUP($A799,'8.Non-elective admissions - CCG'!$D$5:$N$215,6,0)*$H799</f>
        <v>17.790868288732156</v>
      </c>
      <c r="N799" s="384">
        <f>VLOOKUP($A799,'8.Non-elective admissions - CCG'!$D$5:$N$215,7,0)*$H799</f>
        <v>15.891058632436001</v>
      </c>
      <c r="O799" s="384">
        <f>VLOOKUP($A799,'8.Non-elective admissions - CCG'!$D$5:$N$215,8,0)*$H799</f>
        <v>16.06568565038059</v>
      </c>
      <c r="P799" s="384">
        <f>VLOOKUP($A799,'8.Non-elective admissions - CCG'!$D$5:$N$215,9,0)*$H799</f>
        <v>16.06568565038059</v>
      </c>
      <c r="Q799" s="384">
        <f>VLOOKUP($A799,'8.Non-elective admissions - CCG'!$D$5:$N$215,10,0)*$H799</f>
        <v>15.716431614491412</v>
      </c>
      <c r="R799" s="384">
        <f>VLOOKUP($A799,'8.Non-elective admissions - CCG'!$D$5:$Q$215,11,0)*$H799</f>
        <v>15.836624846113994</v>
      </c>
      <c r="S799" s="384">
        <f>VLOOKUP($A799,'8.Non-elective admissions - CCG'!$D$5:$Q$215,12,0)*$H799</f>
        <v>16.010653690583336</v>
      </c>
      <c r="T799" s="384">
        <f>VLOOKUP($A799,'8.Non-elective admissions - CCG'!$D$5:$Q$215,13,0)*$H799</f>
        <v>16.010653690583336</v>
      </c>
      <c r="U799" s="384">
        <f>VLOOKUP($A799,'8.Non-elective admissions - CCG'!$D$5:$Q$215,14,0)*$H799</f>
        <v>15.836624846113994</v>
      </c>
    </row>
    <row r="800" spans="1:21">
      <c r="A800" s="395" t="s">
        <v>608</v>
      </c>
      <c r="B800" s="395" t="s">
        <v>607</v>
      </c>
      <c r="C800" s="395" t="s">
        <v>692</v>
      </c>
      <c r="D800" s="395" t="s">
        <v>180</v>
      </c>
      <c r="E800" s="537">
        <f>COUNTIF($D$5:D800,D800)</f>
        <v>13</v>
      </c>
      <c r="F800" s="537" t="str">
        <f t="shared" si="24"/>
        <v>Essex13</v>
      </c>
      <c r="G800" s="541" t="str">
        <f t="shared" si="25"/>
        <v>NHS West Essex CCG</v>
      </c>
      <c r="H800" s="546">
        <v>0.97277697161947829</v>
      </c>
      <c r="I800" s="546">
        <v>0.19578508826741572</v>
      </c>
      <c r="J800" s="384">
        <f>VLOOKUP($A800,'8.Non-elective admissions - CCG'!$D$5:$N$215,3,0)*$H800</f>
        <v>6269.5475820875372</v>
      </c>
      <c r="K800" s="384">
        <f>VLOOKUP($A800,'8.Non-elective admissions - CCG'!$D$5:$N$215,4,0)*$H800</f>
        <v>6524.4151486518413</v>
      </c>
      <c r="L800" s="384">
        <f>VLOOKUP($A800,'8.Non-elective admissions - CCG'!$D$5:$N$215,5,0)*$H800</f>
        <v>6804.574916478251</v>
      </c>
      <c r="M800" s="384">
        <f>VLOOKUP($A800,'8.Non-elective admissions - CCG'!$D$5:$N$215,6,0)*$H800</f>
        <v>6968.0014477103232</v>
      </c>
      <c r="N800" s="384">
        <f>VLOOKUP($A800,'8.Non-elective admissions - CCG'!$D$5:$N$215,7,0)*$H800</f>
        <v>6223.9187969591021</v>
      </c>
      <c r="O800" s="384">
        <f>VLOOKUP($A800,'8.Non-elective admissions - CCG'!$D$5:$N$215,8,0)*$H800</f>
        <v>6292.3135090158421</v>
      </c>
      <c r="P800" s="384">
        <f>VLOOKUP($A800,'8.Non-elective admissions - CCG'!$D$5:$N$215,9,0)*$H800</f>
        <v>6292.313509015843</v>
      </c>
      <c r="Q800" s="384">
        <f>VLOOKUP($A800,'8.Non-elective admissions - CCG'!$D$5:$N$215,10,0)*$H800</f>
        <v>6155.5240849023612</v>
      </c>
      <c r="R800" s="384">
        <f>VLOOKUP($A800,'8.Non-elective admissions - CCG'!$D$5:$Q$215,11,0)*$H800</f>
        <v>6202.5991684991286</v>
      </c>
      <c r="S800" s="384">
        <f>VLOOKUP($A800,'8.Non-elective admissions - CCG'!$D$5:$Q$215,12,0)*$H800</f>
        <v>6270.7595989247611</v>
      </c>
      <c r="T800" s="384">
        <f>VLOOKUP($A800,'8.Non-elective admissions - CCG'!$D$5:$Q$215,13,0)*$H800</f>
        <v>6270.7595989247611</v>
      </c>
      <c r="U800" s="384">
        <f>VLOOKUP($A800,'8.Non-elective admissions - CCG'!$D$5:$Q$215,14,0)*$H800</f>
        <v>6202.5991684991286</v>
      </c>
    </row>
    <row r="801" spans="1:21">
      <c r="A801" s="395" t="s">
        <v>608</v>
      </c>
      <c r="B801" s="395" t="s">
        <v>607</v>
      </c>
      <c r="C801" s="395" t="s">
        <v>705</v>
      </c>
      <c r="D801" s="395" t="s">
        <v>227</v>
      </c>
      <c r="E801" s="537">
        <f>COUNTIF($D$5:D801,D801)</f>
        <v>12</v>
      </c>
      <c r="F801" s="537" t="str">
        <f t="shared" si="24"/>
        <v>Hertfordshire12</v>
      </c>
      <c r="G801" s="541" t="str">
        <f t="shared" si="25"/>
        <v>NHS West Essex CCG</v>
      </c>
      <c r="H801" s="546">
        <v>7.4106570377619552E-3</v>
      </c>
      <c r="I801" s="546">
        <v>1.8430008350573E-3</v>
      </c>
      <c r="J801" s="384">
        <f>VLOOKUP($A801,'8.Non-elective admissions - CCG'!$D$5:$N$215,3,0)*$H801</f>
        <v>47.761684608375802</v>
      </c>
      <c r="K801" s="384">
        <f>VLOOKUP($A801,'8.Non-elective admissions - CCG'!$D$5:$N$215,4,0)*$H801</f>
        <v>49.703276752269431</v>
      </c>
      <c r="L801" s="384">
        <f>VLOOKUP($A801,'8.Non-elective admissions - CCG'!$D$5:$N$215,5,0)*$H801</f>
        <v>51.837545979144878</v>
      </c>
      <c r="M801" s="384">
        <f>VLOOKUP($A801,'8.Non-elective admissions - CCG'!$D$5:$N$215,6,0)*$H801</f>
        <v>53.082536361488884</v>
      </c>
      <c r="N801" s="384">
        <f>VLOOKUP($A801,'8.Non-elective admissions - CCG'!$D$5:$N$215,7,0)*$H801</f>
        <v>47.414082550040028</v>
      </c>
      <c r="O801" s="384">
        <f>VLOOKUP($A801,'8.Non-elective admissions - CCG'!$D$5:$N$215,8,0)*$H801</f>
        <v>47.935116424233392</v>
      </c>
      <c r="P801" s="384">
        <f>VLOOKUP($A801,'8.Non-elective admissions - CCG'!$D$5:$N$215,9,0)*$H801</f>
        <v>47.935116424233399</v>
      </c>
      <c r="Q801" s="384">
        <f>VLOOKUP($A801,'8.Non-elective admissions - CCG'!$D$5:$N$215,10,0)*$H801</f>
        <v>46.893048675846664</v>
      </c>
      <c r="R801" s="384">
        <f>VLOOKUP($A801,'8.Non-elective admissions - CCG'!$D$5:$Q$215,11,0)*$H801</f>
        <v>47.251668698459696</v>
      </c>
      <c r="S801" s="384">
        <f>VLOOKUP($A801,'8.Non-elective admissions - CCG'!$D$5:$Q$215,12,0)*$H801</f>
        <v>47.770917805055717</v>
      </c>
      <c r="T801" s="384">
        <f>VLOOKUP($A801,'8.Non-elective admissions - CCG'!$D$5:$Q$215,13,0)*$H801</f>
        <v>47.770917805055717</v>
      </c>
      <c r="U801" s="384">
        <f>VLOOKUP($A801,'8.Non-elective admissions - CCG'!$D$5:$Q$215,14,0)*$H801</f>
        <v>47.251668698459696</v>
      </c>
    </row>
    <row r="802" spans="1:21">
      <c r="A802" s="395" t="s">
        <v>608</v>
      </c>
      <c r="B802" s="395" t="s">
        <v>607</v>
      </c>
      <c r="C802" s="395" t="s">
        <v>749</v>
      </c>
      <c r="D802" s="395" t="s">
        <v>363</v>
      </c>
      <c r="E802" s="537">
        <f>COUNTIF($D$5:D802,D802)</f>
        <v>6</v>
      </c>
      <c r="F802" s="537" t="str">
        <f t="shared" si="24"/>
        <v>Redbridge6</v>
      </c>
      <c r="G802" s="541" t="str">
        <f t="shared" si="25"/>
        <v>NHS West Essex CCG</v>
      </c>
      <c r="H802" s="546">
        <v>1.7328653865622785E-2</v>
      </c>
      <c r="I802" s="546">
        <v>1.6732543248817969E-2</v>
      </c>
      <c r="J802" s="384">
        <f>VLOOKUP($A802,'8.Non-elective admissions - CCG'!$D$5:$N$215,3,0)*$H802</f>
        <v>111.68317416393884</v>
      </c>
      <c r="K802" s="384">
        <f>VLOOKUP($A802,'8.Non-elective admissions - CCG'!$D$5:$N$215,4,0)*$H802</f>
        <v>116.22328147673201</v>
      </c>
      <c r="L802" s="384">
        <f>VLOOKUP($A802,'8.Non-elective admissions - CCG'!$D$5:$N$215,5,0)*$H802</f>
        <v>121.21393379003138</v>
      </c>
      <c r="M802" s="384">
        <f>VLOOKUP($A802,'8.Non-elective admissions - CCG'!$D$5:$N$215,6,0)*$H802</f>
        <v>124.125147639456</v>
      </c>
      <c r="N802" s="384">
        <f>VLOOKUP($A802,'8.Non-elective admissions - CCG'!$D$5:$N$215,7,0)*$H802</f>
        <v>110.87036151842237</v>
      </c>
      <c r="O802" s="384">
        <f>VLOOKUP($A802,'8.Non-elective admissions - CCG'!$D$5:$N$215,8,0)*$H802</f>
        <v>112.08871713954392</v>
      </c>
      <c r="P802" s="384">
        <f>VLOOKUP($A802,'8.Non-elective admissions - CCG'!$D$5:$N$215,9,0)*$H802</f>
        <v>112.08871713954393</v>
      </c>
      <c r="Q802" s="384">
        <f>VLOOKUP($A802,'8.Non-elective admissions - CCG'!$D$5:$N$215,10,0)*$H802</f>
        <v>109.65200589730081</v>
      </c>
      <c r="R802" s="384">
        <f>VLOOKUP($A802,'8.Non-elective admissions - CCG'!$D$5:$Q$215,11,0)*$H802</f>
        <v>110.49058231629805</v>
      </c>
      <c r="S802" s="384">
        <f>VLOOKUP($A802,'8.Non-elective admissions - CCG'!$D$5:$Q$215,12,0)*$H802</f>
        <v>111.70476453959975</v>
      </c>
      <c r="T802" s="384">
        <f>VLOOKUP($A802,'8.Non-elective admissions - CCG'!$D$5:$Q$215,13,0)*$H802</f>
        <v>111.70476453959975</v>
      </c>
      <c r="U802" s="384">
        <f>VLOOKUP($A802,'8.Non-elective admissions - CCG'!$D$5:$Q$215,14,0)*$H802</f>
        <v>110.49058231629805</v>
      </c>
    </row>
    <row r="803" spans="1:21">
      <c r="A803" s="395" t="s">
        <v>610</v>
      </c>
      <c r="B803" s="395" t="s">
        <v>609</v>
      </c>
      <c r="C803" s="395" t="s">
        <v>686</v>
      </c>
      <c r="D803" s="395" t="s">
        <v>158</v>
      </c>
      <c r="E803" s="537">
        <f>COUNTIF($D$5:D803,D803)</f>
        <v>3</v>
      </c>
      <c r="F803" s="537" t="str">
        <f t="shared" si="24"/>
        <v>Dorset3</v>
      </c>
      <c r="G803" s="541" t="str">
        <f t="shared" si="25"/>
        <v>NHS West Hampshire CCG</v>
      </c>
      <c r="H803" s="546">
        <v>1.9855157708991985E-2</v>
      </c>
      <c r="I803" s="546">
        <v>2.5187883140534027E-2</v>
      </c>
      <c r="J803" s="384">
        <f>VLOOKUP($A803,'8.Non-elective admissions - CCG'!$D$5:$N$215,3,0)*$H803</f>
        <v>251.4258620689655</v>
      </c>
      <c r="K803" s="384">
        <f>VLOOKUP($A803,'8.Non-elective admissions - CCG'!$D$5:$N$215,4,0)*$H803</f>
        <v>255.23805234909196</v>
      </c>
      <c r="L803" s="384">
        <f>VLOOKUP($A803,'8.Non-elective admissions - CCG'!$D$5:$N$215,5,0)*$H803</f>
        <v>262.52489522829205</v>
      </c>
      <c r="M803" s="384">
        <f>VLOOKUP($A803,'8.Non-elective admissions - CCG'!$D$5:$N$215,6,0)*$H803</f>
        <v>258.57371884420263</v>
      </c>
      <c r="N803" s="384">
        <f>VLOOKUP($A803,'8.Non-elective admissions - CCG'!$D$5:$N$215,7,0)*$H803</f>
        <v>255.17848687596498</v>
      </c>
      <c r="O803" s="384">
        <f>VLOOKUP($A803,'8.Non-elective admissions - CCG'!$D$5:$N$215,8,0)*$H803</f>
        <v>256.74704433497539</v>
      </c>
      <c r="P803" s="384">
        <f>VLOOKUP($A803,'8.Non-elective admissions - CCG'!$D$5:$N$215,9,0)*$H803</f>
        <v>266.23780971987355</v>
      </c>
      <c r="Q803" s="384">
        <f>VLOOKUP($A803,'8.Non-elective admissions - CCG'!$D$5:$N$215,10,0)*$H803</f>
        <v>262.16750238953017</v>
      </c>
      <c r="R803" s="384">
        <f>VLOOKUP($A803,'8.Non-elective admissions - CCG'!$D$5:$Q$215,11,0)*$H803</f>
        <v>255.37703845305492</v>
      </c>
      <c r="S803" s="384">
        <f>VLOOKUP($A803,'8.Non-elective admissions - CCG'!$D$5:$Q$215,12,0)*$H803</f>
        <v>256.78675465039333</v>
      </c>
      <c r="T803" s="384">
        <f>VLOOKUP($A803,'8.Non-elective admissions - CCG'!$D$5:$Q$215,13,0)*$H803</f>
        <v>266.2576648775825</v>
      </c>
      <c r="U803" s="384">
        <f>VLOOKUP($A803,'8.Non-elective admissions - CCG'!$D$5:$Q$215,14,0)*$H803</f>
        <v>265.46345856922284</v>
      </c>
    </row>
    <row r="804" spans="1:21">
      <c r="A804" s="395" t="s">
        <v>610</v>
      </c>
      <c r="B804" s="395" t="s">
        <v>609</v>
      </c>
      <c r="C804" s="395" t="s">
        <v>699</v>
      </c>
      <c r="D804" s="395" t="s">
        <v>205</v>
      </c>
      <c r="E804" s="537">
        <f>COUNTIF($D$5:D804,D804)</f>
        <v>14</v>
      </c>
      <c r="F804" s="537" t="str">
        <f t="shared" si="24"/>
        <v>Hampshire14</v>
      </c>
      <c r="G804" s="541" t="str">
        <f t="shared" si="25"/>
        <v>NHS West Hampshire CCG</v>
      </c>
      <c r="H804" s="546">
        <v>0.97679950003676197</v>
      </c>
      <c r="I804" s="546">
        <v>0.39140153682872381</v>
      </c>
      <c r="J804" s="384">
        <f>VLOOKUP($A804,'8.Non-elective admissions - CCG'!$D$5:$N$215,3,0)*$H804</f>
        <v>12369.212068965517</v>
      </c>
      <c r="K804" s="384">
        <f>VLOOKUP($A804,'8.Non-elective admissions - CCG'!$D$5:$N$215,4,0)*$H804</f>
        <v>12556.757572972576</v>
      </c>
      <c r="L804" s="384">
        <f>VLOOKUP($A804,'8.Non-elective admissions - CCG'!$D$5:$N$215,5,0)*$H804</f>
        <v>12915.242989486067</v>
      </c>
      <c r="M804" s="384">
        <f>VLOOKUP($A804,'8.Non-elective admissions - CCG'!$D$5:$N$215,6,0)*$H804</f>
        <v>12720.859888978752</v>
      </c>
      <c r="N804" s="384">
        <f>VLOOKUP($A804,'8.Non-elective admissions - CCG'!$D$5:$N$215,7,0)*$H804</f>
        <v>12553.827174472464</v>
      </c>
      <c r="O804" s="384">
        <f>VLOOKUP($A804,'8.Non-elective admissions - CCG'!$D$5:$N$215,8,0)*$H804</f>
        <v>12630.994334975368</v>
      </c>
      <c r="P804" s="384">
        <f>VLOOKUP($A804,'8.Non-elective admissions - CCG'!$D$5:$N$215,9,0)*$H804</f>
        <v>13097.904495992942</v>
      </c>
      <c r="Q804" s="384">
        <f>VLOOKUP($A804,'8.Non-elective admissions - CCG'!$D$5:$N$215,10,0)*$H804</f>
        <v>12897.660598485405</v>
      </c>
      <c r="R804" s="384">
        <f>VLOOKUP($A804,'8.Non-elective admissions - CCG'!$D$5:$Q$215,11,0)*$H804</f>
        <v>12563.595169472832</v>
      </c>
      <c r="S804" s="384">
        <f>VLOOKUP($A804,'8.Non-elective admissions - CCG'!$D$5:$Q$215,12,0)*$H804</f>
        <v>12632.947933975443</v>
      </c>
      <c r="T804" s="384">
        <f>VLOOKUP($A804,'8.Non-elective admissions - CCG'!$D$5:$Q$215,13,0)*$H804</f>
        <v>13098.881295492978</v>
      </c>
      <c r="U804" s="384">
        <f>VLOOKUP($A804,'8.Non-elective admissions - CCG'!$D$5:$Q$215,14,0)*$H804</f>
        <v>13059.809315491508</v>
      </c>
    </row>
    <row r="805" spans="1:21">
      <c r="A805" s="395" t="s">
        <v>610</v>
      </c>
      <c r="B805" s="395" t="s">
        <v>609</v>
      </c>
      <c r="C805" s="395" t="s">
        <v>765</v>
      </c>
      <c r="D805" s="395" t="s">
        <v>411</v>
      </c>
      <c r="E805" s="537">
        <f>COUNTIF($D$5:D805,D805)</f>
        <v>2</v>
      </c>
      <c r="F805" s="537" t="str">
        <f t="shared" si="24"/>
        <v>Southampton2</v>
      </c>
      <c r="G805" s="541" t="str">
        <f t="shared" si="25"/>
        <v>NHS West Hampshire CCG</v>
      </c>
      <c r="H805" s="546">
        <v>2.0605102565987793E-3</v>
      </c>
      <c r="I805" s="546">
        <v>4.4472655862575136E-3</v>
      </c>
      <c r="J805" s="384">
        <f>VLOOKUP($A805,'8.Non-elective admissions - CCG'!$D$5:$N$215,3,0)*$H805</f>
        <v>26.092241379310341</v>
      </c>
      <c r="K805" s="384">
        <f>VLOOKUP($A805,'8.Non-elective admissions - CCG'!$D$5:$N$215,4,0)*$H805</f>
        <v>26.48785934857731</v>
      </c>
      <c r="L805" s="384">
        <f>VLOOKUP($A805,'8.Non-elective admissions - CCG'!$D$5:$N$215,5,0)*$H805</f>
        <v>27.244066612749059</v>
      </c>
      <c r="M805" s="384">
        <f>VLOOKUP($A805,'8.Non-elective admissions - CCG'!$D$5:$N$215,6,0)*$H805</f>
        <v>26.834025071685904</v>
      </c>
      <c r="N805" s="384">
        <f>VLOOKUP($A805,'8.Non-elective admissions - CCG'!$D$5:$N$215,7,0)*$H805</f>
        <v>26.481677817807512</v>
      </c>
      <c r="O805" s="384">
        <f>VLOOKUP($A805,'8.Non-elective admissions - CCG'!$D$5:$N$215,8,0)*$H805</f>
        <v>26.644458128078817</v>
      </c>
      <c r="P805" s="384">
        <f>VLOOKUP($A805,'8.Non-elective admissions - CCG'!$D$5:$N$215,9,0)*$H805</f>
        <v>27.629382030733034</v>
      </c>
      <c r="Q805" s="384">
        <f>VLOOKUP($A805,'8.Non-elective admissions - CCG'!$D$5:$N$215,10,0)*$H805</f>
        <v>27.206977428130283</v>
      </c>
      <c r="R805" s="384">
        <f>VLOOKUP($A805,'8.Non-elective admissions - CCG'!$D$5:$Q$215,11,0)*$H805</f>
        <v>26.502282920373499</v>
      </c>
      <c r="S805" s="384">
        <f>VLOOKUP($A805,'8.Non-elective admissions - CCG'!$D$5:$Q$215,12,0)*$H805</f>
        <v>26.648579148592013</v>
      </c>
      <c r="T805" s="384">
        <f>VLOOKUP($A805,'8.Non-elective admissions - CCG'!$D$5:$Q$215,13,0)*$H805</f>
        <v>27.631442540989632</v>
      </c>
      <c r="U805" s="384">
        <f>VLOOKUP($A805,'8.Non-elective admissions - CCG'!$D$5:$Q$215,14,0)*$H805</f>
        <v>27.549022130725678</v>
      </c>
    </row>
    <row r="806" spans="1:21">
      <c r="A806" s="395" t="s">
        <v>610</v>
      </c>
      <c r="B806" s="395" t="s">
        <v>609</v>
      </c>
      <c r="C806" s="395" t="s">
        <v>794</v>
      </c>
      <c r="D806" s="395" t="s">
        <v>498</v>
      </c>
      <c r="E806" s="537">
        <f>COUNTIF($D$5:D806,D806)</f>
        <v>8</v>
      </c>
      <c r="F806" s="537" t="str">
        <f t="shared" si="24"/>
        <v>Wiltshire8</v>
      </c>
      <c r="G806" s="541" t="str">
        <f t="shared" si="25"/>
        <v>NHS West Hampshire CCG</v>
      </c>
      <c r="H806" s="546">
        <v>1.2848319976472317E-3</v>
      </c>
      <c r="I806" s="546">
        <v>1.4613647767185147E-3</v>
      </c>
      <c r="J806" s="384">
        <f>VLOOKUP($A806,'8.Non-elective admissions - CCG'!$D$5:$N$215,3,0)*$H806</f>
        <v>16.269827586206894</v>
      </c>
      <c r="K806" s="384">
        <f>VLOOKUP($A806,'8.Non-elective admissions - CCG'!$D$5:$N$215,4,0)*$H806</f>
        <v>16.516515329755162</v>
      </c>
      <c r="L806" s="384">
        <f>VLOOKUP($A806,'8.Non-elective admissions - CCG'!$D$5:$N$215,5,0)*$H806</f>
        <v>16.988048672891697</v>
      </c>
      <c r="M806" s="384">
        <f>VLOOKUP($A806,'8.Non-elective admissions - CCG'!$D$5:$N$215,6,0)*$H806</f>
        <v>16.732367105359899</v>
      </c>
      <c r="N806" s="384">
        <f>VLOOKUP($A806,'8.Non-elective admissions - CCG'!$D$5:$N$215,7,0)*$H806</f>
        <v>16.512660833762222</v>
      </c>
      <c r="O806" s="384">
        <f>VLOOKUP($A806,'8.Non-elective admissions - CCG'!$D$5:$N$215,8,0)*$H806</f>
        <v>16.614162561576354</v>
      </c>
      <c r="P806" s="384">
        <f>VLOOKUP($A806,'8.Non-elective admissions - CCG'!$D$5:$N$215,9,0)*$H806</f>
        <v>17.22831225645173</v>
      </c>
      <c r="Q806" s="384">
        <f>VLOOKUP($A806,'8.Non-elective admissions - CCG'!$D$5:$N$215,10,0)*$H806</f>
        <v>16.964921696934049</v>
      </c>
      <c r="R806" s="384">
        <f>VLOOKUP($A806,'8.Non-elective admissions - CCG'!$D$5:$Q$215,11,0)*$H806</f>
        <v>16.525509153738692</v>
      </c>
      <c r="S806" s="384">
        <f>VLOOKUP($A806,'8.Non-elective admissions - CCG'!$D$5:$Q$215,12,0)*$H806</f>
        <v>16.616732225571649</v>
      </c>
      <c r="T806" s="384">
        <f>VLOOKUP($A806,'8.Non-elective admissions - CCG'!$D$5:$Q$215,13,0)*$H806</f>
        <v>17.229597088449378</v>
      </c>
      <c r="U806" s="384">
        <f>VLOOKUP($A806,'8.Non-elective admissions - CCG'!$D$5:$Q$215,14,0)*$H806</f>
        <v>17.178203808543486</v>
      </c>
    </row>
    <row r="807" spans="1:21">
      <c r="A807" s="395" t="s">
        <v>612</v>
      </c>
      <c r="B807" s="395" t="s">
        <v>611</v>
      </c>
      <c r="C807" s="395" t="s">
        <v>666</v>
      </c>
      <c r="D807" s="395" t="s">
        <v>83</v>
      </c>
      <c r="E807" s="537">
        <f>COUNTIF($D$5:D807,D807)</f>
        <v>6</v>
      </c>
      <c r="F807" s="537" t="str">
        <f t="shared" si="24"/>
        <v>Bromley6</v>
      </c>
      <c r="G807" s="541" t="str">
        <f t="shared" si="25"/>
        <v>NHS West Kent CCG</v>
      </c>
      <c r="H807" s="546">
        <v>1.2848654701401075E-3</v>
      </c>
      <c r="I807" s="546">
        <v>1.8682729094272371E-3</v>
      </c>
      <c r="J807" s="384">
        <f>VLOOKUP($A807,'8.Non-elective admissions - CCG'!$D$5:$N$215,3,0)*$H807</f>
        <v>12.537717257627168</v>
      </c>
      <c r="K807" s="384">
        <f>VLOOKUP($A807,'8.Non-elective admissions - CCG'!$D$5:$N$215,4,0)*$H807</f>
        <v>12.486322638821564</v>
      </c>
      <c r="L807" s="384">
        <f>VLOOKUP($A807,'8.Non-elective admissions - CCG'!$D$5:$N$215,5,0)*$H807</f>
        <v>12.66877353558146</v>
      </c>
      <c r="M807" s="384">
        <f>VLOOKUP($A807,'8.Non-elective admissions - CCG'!$D$5:$N$215,6,0)*$H807</f>
        <v>12.774132504132949</v>
      </c>
      <c r="N807" s="384">
        <f>VLOOKUP($A807,'8.Non-elective admissions - CCG'!$D$5:$N$215,7,0)*$H807</f>
        <v>11.657584410581196</v>
      </c>
      <c r="O807" s="384">
        <f>VLOOKUP($A807,'8.Non-elective admissions - CCG'!$D$5:$N$215,8,0)*$H807</f>
        <v>11.786070957595205</v>
      </c>
      <c r="P807" s="384">
        <f>VLOOKUP($A807,'8.Non-elective admissions - CCG'!$D$5:$N$215,9,0)*$H807</f>
        <v>11.786070957595205</v>
      </c>
      <c r="Q807" s="384">
        <f>VLOOKUP($A807,'8.Non-elective admissions - CCG'!$D$5:$N$215,10,0)*$H807</f>
        <v>11.530382729037324</v>
      </c>
      <c r="R807" s="384">
        <f>VLOOKUP($A807,'8.Non-elective admissions - CCG'!$D$5:$Q$215,11,0)*$H807</f>
        <v>11.166765800987674</v>
      </c>
      <c r="S807" s="384">
        <f>VLOOKUP($A807,'8.Non-elective admissions - CCG'!$D$5:$Q$215,12,0)*$H807</f>
        <v>11.290112886121124</v>
      </c>
      <c r="T807" s="384">
        <f>VLOOKUP($A807,'8.Non-elective admissions - CCG'!$D$5:$Q$215,13,0)*$H807</f>
        <v>11.290112886121124</v>
      </c>
      <c r="U807" s="384">
        <f>VLOOKUP($A807,'8.Non-elective admissions - CCG'!$D$5:$Q$215,14,0)*$H807</f>
        <v>11.168050666457814</v>
      </c>
    </row>
    <row r="808" spans="1:21">
      <c r="A808" s="395" t="s">
        <v>612</v>
      </c>
      <c r="B808" s="395" t="s">
        <v>611</v>
      </c>
      <c r="C808" s="395" t="s">
        <v>690</v>
      </c>
      <c r="D808" s="395" t="s">
        <v>173</v>
      </c>
      <c r="E808" s="537">
        <f>COUNTIF($D$5:D808,D808)</f>
        <v>6</v>
      </c>
      <c r="F808" s="537" t="str">
        <f t="shared" si="24"/>
        <v>East Sussex6</v>
      </c>
      <c r="G808" s="541" t="str">
        <f t="shared" si="25"/>
        <v>NHS West Kent CCG</v>
      </c>
      <c r="H808" s="546">
        <v>8.0076541573970792E-3</v>
      </c>
      <c r="I808" s="546">
        <v>6.8792074454736883E-3</v>
      </c>
      <c r="J808" s="384">
        <f>VLOOKUP($A808,'8.Non-elective admissions - CCG'!$D$5:$N$215,3,0)*$H808</f>
        <v>78.138689267880693</v>
      </c>
      <c r="K808" s="384">
        <f>VLOOKUP($A808,'8.Non-elective admissions - CCG'!$D$5:$N$215,4,0)*$H808</f>
        <v>77.818383101584814</v>
      </c>
      <c r="L808" s="384">
        <f>VLOOKUP($A808,'8.Non-elective admissions - CCG'!$D$5:$N$215,5,0)*$H808</f>
        <v>78.955469991935203</v>
      </c>
      <c r="M808" s="384">
        <f>VLOOKUP($A808,'8.Non-elective admissions - CCG'!$D$5:$N$215,6,0)*$H808</f>
        <v>79.612097632841767</v>
      </c>
      <c r="N808" s="384">
        <f>VLOOKUP($A808,'8.Non-elective admissions - CCG'!$D$5:$N$215,7,0)*$H808</f>
        <v>72.653446170063702</v>
      </c>
      <c r="O808" s="384">
        <f>VLOOKUP($A808,'8.Non-elective admissions - CCG'!$D$5:$N$215,8,0)*$H808</f>
        <v>73.454211585803407</v>
      </c>
      <c r="P808" s="384">
        <f>VLOOKUP($A808,'8.Non-elective admissions - CCG'!$D$5:$N$215,9,0)*$H808</f>
        <v>73.454211585803407</v>
      </c>
      <c r="Q808" s="384">
        <f>VLOOKUP($A808,'8.Non-elective admissions - CCG'!$D$5:$N$215,10,0)*$H808</f>
        <v>71.860688408481394</v>
      </c>
      <c r="R808" s="384">
        <f>VLOOKUP($A808,'8.Non-elective admissions - CCG'!$D$5:$Q$215,11,0)*$H808</f>
        <v>69.594522281938012</v>
      </c>
      <c r="S808" s="384">
        <f>VLOOKUP($A808,'8.Non-elective admissions - CCG'!$D$5:$Q$215,12,0)*$H808</f>
        <v>70.363257081048133</v>
      </c>
      <c r="T808" s="384">
        <f>VLOOKUP($A808,'8.Non-elective admissions - CCG'!$D$5:$Q$215,13,0)*$H808</f>
        <v>70.363257081048133</v>
      </c>
      <c r="U808" s="384">
        <f>VLOOKUP($A808,'8.Non-elective admissions - CCG'!$D$5:$Q$215,14,0)*$H808</f>
        <v>69.602529936095408</v>
      </c>
    </row>
    <row r="809" spans="1:21">
      <c r="A809" s="395" t="s">
        <v>612</v>
      </c>
      <c r="B809" s="395" t="s">
        <v>611</v>
      </c>
      <c r="C809" s="395" t="s">
        <v>712</v>
      </c>
      <c r="D809" s="395" t="s">
        <v>252</v>
      </c>
      <c r="E809" s="537">
        <f>COUNTIF($D$5:D809,D809)</f>
        <v>14</v>
      </c>
      <c r="F809" s="537" t="str">
        <f t="shared" si="24"/>
        <v>Kent14</v>
      </c>
      <c r="G809" s="541" t="str">
        <f t="shared" si="25"/>
        <v>NHS West Kent CCG</v>
      </c>
      <c r="H809" s="546">
        <v>0.98650573744292713</v>
      </c>
      <c r="I809" s="546">
        <v>0.30381284969918454</v>
      </c>
      <c r="J809" s="384">
        <f>VLOOKUP($A809,'8.Non-elective admissions - CCG'!$D$5:$N$215,3,0)*$H809</f>
        <v>9626.3229859680832</v>
      </c>
      <c r="K809" s="384">
        <f>VLOOKUP($A809,'8.Non-elective admissions - CCG'!$D$5:$N$215,4,0)*$H809</f>
        <v>9586.8627564703656</v>
      </c>
      <c r="L809" s="384">
        <f>VLOOKUP($A809,'8.Non-elective admissions - CCG'!$D$5:$N$215,5,0)*$H809</f>
        <v>9726.9465711872617</v>
      </c>
      <c r="M809" s="384">
        <f>VLOOKUP($A809,'8.Non-elective admissions - CCG'!$D$5:$N$215,6,0)*$H809</f>
        <v>9807.8400416575823</v>
      </c>
      <c r="N809" s="384">
        <f>VLOOKUP($A809,'8.Non-elective admissions - CCG'!$D$5:$N$215,7,0)*$H809</f>
        <v>8950.5665558196779</v>
      </c>
      <c r="O809" s="384">
        <f>VLOOKUP($A809,'8.Non-elective admissions - CCG'!$D$5:$N$215,8,0)*$H809</f>
        <v>9049.217129563971</v>
      </c>
      <c r="P809" s="384">
        <f>VLOOKUP($A809,'8.Non-elective admissions - CCG'!$D$5:$N$215,9,0)*$H809</f>
        <v>9049.217129563971</v>
      </c>
      <c r="Q809" s="384">
        <f>VLOOKUP($A809,'8.Non-elective admissions - CCG'!$D$5:$N$215,10,0)*$H809</f>
        <v>8852.9024878128275</v>
      </c>
      <c r="R809" s="384">
        <f>VLOOKUP($A809,'8.Non-elective admissions - CCG'!$D$5:$Q$215,11,0)*$H809</f>
        <v>8573.7213641164799</v>
      </c>
      <c r="S809" s="384">
        <f>VLOOKUP($A809,'8.Non-elective admissions - CCG'!$D$5:$Q$215,12,0)*$H809</f>
        <v>8668.4259149110003</v>
      </c>
      <c r="T809" s="384">
        <f>VLOOKUP($A809,'8.Non-elective admissions - CCG'!$D$5:$Q$215,13,0)*$H809</f>
        <v>8668.4259149110003</v>
      </c>
      <c r="U809" s="384">
        <f>VLOOKUP($A809,'8.Non-elective admissions - CCG'!$D$5:$Q$215,14,0)*$H809</f>
        <v>8574.7078698539226</v>
      </c>
    </row>
    <row r="810" spans="1:21">
      <c r="A810" s="395" t="s">
        <v>612</v>
      </c>
      <c r="B810" s="395" t="s">
        <v>611</v>
      </c>
      <c r="C810" s="395" t="s">
        <v>727</v>
      </c>
      <c r="D810" s="395" t="s">
        <v>297</v>
      </c>
      <c r="E810" s="537">
        <f>COUNTIF($D$5:D810,D810)</f>
        <v>4</v>
      </c>
      <c r="F810" s="537" t="str">
        <f t="shared" si="24"/>
        <v>Medway4</v>
      </c>
      <c r="G810" s="541" t="str">
        <f t="shared" si="25"/>
        <v>NHS West Kent CCG</v>
      </c>
      <c r="H810" s="546">
        <v>1.9156560963373924E-3</v>
      </c>
      <c r="I810" s="546">
        <v>3.2714114784972471E-3</v>
      </c>
      <c r="J810" s="384">
        <f>VLOOKUP($A810,'8.Non-elective admissions - CCG'!$D$5:$N$215,3,0)*$H810</f>
        <v>18.692972188060274</v>
      </c>
      <c r="K810" s="384">
        <f>VLOOKUP($A810,'8.Non-elective admissions - CCG'!$D$5:$N$215,4,0)*$H810</f>
        <v>18.616345944206781</v>
      </c>
      <c r="L810" s="384">
        <f>VLOOKUP($A810,'8.Non-elective admissions - CCG'!$D$5:$N$215,5,0)*$H810</f>
        <v>18.888369109886689</v>
      </c>
      <c r="M810" s="384">
        <f>VLOOKUP($A810,'8.Non-elective admissions - CCG'!$D$5:$N$215,6,0)*$H810</f>
        <v>19.045452909786356</v>
      </c>
      <c r="N810" s="384">
        <f>VLOOKUP($A810,'8.Non-elective admissions - CCG'!$D$5:$N$215,7,0)*$H810</f>
        <v>17.380747762069163</v>
      </c>
      <c r="O810" s="384">
        <f>VLOOKUP($A810,'8.Non-elective admissions - CCG'!$D$5:$N$215,8,0)*$H810</f>
        <v>17.572313371702901</v>
      </c>
      <c r="P810" s="384">
        <f>VLOOKUP($A810,'8.Non-elective admissions - CCG'!$D$5:$N$215,9,0)*$H810</f>
        <v>17.572313371702901</v>
      </c>
      <c r="Q810" s="384">
        <f>VLOOKUP($A810,'8.Non-elective admissions - CCG'!$D$5:$N$215,10,0)*$H810</f>
        <v>17.191097808531758</v>
      </c>
      <c r="R810" s="384">
        <f>VLOOKUP($A810,'8.Non-elective admissions - CCG'!$D$5:$Q$215,11,0)*$H810</f>
        <v>16.648967133268279</v>
      </c>
      <c r="S810" s="384">
        <f>VLOOKUP($A810,'8.Non-elective admissions - CCG'!$D$5:$Q$215,12,0)*$H810</f>
        <v>16.832870118516666</v>
      </c>
      <c r="T810" s="384">
        <f>VLOOKUP($A810,'8.Non-elective admissions - CCG'!$D$5:$Q$215,13,0)*$H810</f>
        <v>16.832870118516666</v>
      </c>
      <c r="U810" s="384">
        <f>VLOOKUP($A810,'8.Non-elective admissions - CCG'!$D$5:$Q$215,14,0)*$H810</f>
        <v>16.650882789364616</v>
      </c>
    </row>
    <row r="811" spans="1:21">
      <c r="A811" s="395" t="s">
        <v>612</v>
      </c>
      <c r="B811" s="395" t="s">
        <v>611</v>
      </c>
      <c r="C811" s="395" t="s">
        <v>775</v>
      </c>
      <c r="D811" s="395" t="s">
        <v>441</v>
      </c>
      <c r="E811" s="537">
        <f>COUNTIF($D$5:D811,D811)</f>
        <v>20</v>
      </c>
      <c r="F811" s="537" t="str">
        <f t="shared" si="24"/>
        <v>Surrey20</v>
      </c>
      <c r="G811" s="541" t="str">
        <f t="shared" si="25"/>
        <v>NHS West Kent CCG</v>
      </c>
      <c r="H811" s="546">
        <v>2.2860868331982141E-3</v>
      </c>
      <c r="I811" s="546">
        <v>0</v>
      </c>
      <c r="J811" s="384">
        <f>VLOOKUP($A811,'8.Non-elective admissions - CCG'!$D$5:$N$215,3,0)*$H811</f>
        <v>22.307635318348172</v>
      </c>
      <c r="K811" s="384">
        <f>VLOOKUP($A811,'8.Non-elective admissions - CCG'!$D$5:$N$215,4,0)*$H811</f>
        <v>22.216191845020244</v>
      </c>
      <c r="L811" s="384">
        <f>VLOOKUP($A811,'8.Non-elective admissions - CCG'!$D$5:$N$215,5,0)*$H811</f>
        <v>22.540816175334392</v>
      </c>
      <c r="M811" s="384">
        <f>VLOOKUP($A811,'8.Non-elective admissions - CCG'!$D$5:$N$215,6,0)*$H811</f>
        <v>22.728275295656644</v>
      </c>
      <c r="N811" s="384">
        <f>VLOOKUP($A811,'8.Non-elective admissions - CCG'!$D$5:$N$215,7,0)*$H811</f>
        <v>20.741665837607396</v>
      </c>
      <c r="O811" s="384">
        <f>VLOOKUP($A811,'8.Non-elective admissions - CCG'!$D$5:$N$215,8,0)*$H811</f>
        <v>20.970274520927219</v>
      </c>
      <c r="P811" s="384">
        <f>VLOOKUP($A811,'8.Non-elective admissions - CCG'!$D$5:$N$215,9,0)*$H811</f>
        <v>20.970274520927219</v>
      </c>
      <c r="Q811" s="384">
        <f>VLOOKUP($A811,'8.Non-elective admissions - CCG'!$D$5:$N$215,10,0)*$H811</f>
        <v>20.515343241120775</v>
      </c>
      <c r="R811" s="384">
        <f>VLOOKUP($A811,'8.Non-elective admissions - CCG'!$D$5:$Q$215,11,0)*$H811</f>
        <v>19.868380667325678</v>
      </c>
      <c r="S811" s="384">
        <f>VLOOKUP($A811,'8.Non-elective admissions - CCG'!$D$5:$Q$215,12,0)*$H811</f>
        <v>20.087845003312708</v>
      </c>
      <c r="T811" s="384">
        <f>VLOOKUP($A811,'8.Non-elective admissions - CCG'!$D$5:$Q$215,13,0)*$H811</f>
        <v>20.087845003312708</v>
      </c>
      <c r="U811" s="384">
        <f>VLOOKUP($A811,'8.Non-elective admissions - CCG'!$D$5:$Q$215,14,0)*$H811</f>
        <v>19.870666754158876</v>
      </c>
    </row>
    <row r="812" spans="1:21">
      <c r="A812" s="395" t="s">
        <v>614</v>
      </c>
      <c r="B812" s="395" t="s">
        <v>613</v>
      </c>
      <c r="C812" s="395" t="s">
        <v>718</v>
      </c>
      <c r="D812" s="395" t="s">
        <v>270</v>
      </c>
      <c r="E812" s="537">
        <f>COUNTIF($D$5:D812,D812)</f>
        <v>16</v>
      </c>
      <c r="F812" s="537" t="str">
        <f t="shared" si="24"/>
        <v>Lancashire16</v>
      </c>
      <c r="G812" s="541" t="str">
        <f t="shared" si="25"/>
        <v>NHS West Lancashire CCG</v>
      </c>
      <c r="H812" s="546">
        <v>0.97158145278190378</v>
      </c>
      <c r="I812" s="546">
        <v>8.8539708814260029E-2</v>
      </c>
      <c r="J812" s="384">
        <f>VLOOKUP($A812,'8.Non-elective admissions - CCG'!$D$5:$N$215,3,0)*$H812</f>
        <v>3113.9185561660015</v>
      </c>
      <c r="K812" s="384">
        <f>VLOOKUP($A812,'8.Non-elective admissions - CCG'!$D$5:$N$215,4,0)*$H812</f>
        <v>3089.629019846454</v>
      </c>
      <c r="L812" s="384">
        <f>VLOOKUP($A812,'8.Non-elective admissions - CCG'!$D$5:$N$215,5,0)*$H812</f>
        <v>3376.2455484171155</v>
      </c>
      <c r="M812" s="384">
        <f>VLOOKUP($A812,'8.Non-elective admissions - CCG'!$D$5:$N$215,6,0)*$H812</f>
        <v>3229.536749047048</v>
      </c>
      <c r="N812" s="384">
        <f>VLOOKUP($A812,'8.Non-elective admissions - CCG'!$D$5:$N$215,7,0)*$H812</f>
        <v>3190.673490935772</v>
      </c>
      <c r="O812" s="384">
        <f>VLOOKUP($A812,'8.Non-elective admissions - CCG'!$D$5:$N$215,8,0)*$H812</f>
        <v>3070.1973907908159</v>
      </c>
      <c r="P812" s="384">
        <f>VLOOKUP($A812,'8.Non-elective admissions - CCG'!$D$5:$N$215,9,0)*$H812</f>
        <v>3215.9346087081017</v>
      </c>
      <c r="Q812" s="384">
        <f>VLOOKUP($A812,'8.Non-elective admissions - CCG'!$D$5:$N$215,10,0)*$H812</f>
        <v>3295.6042878362177</v>
      </c>
      <c r="R812" s="384">
        <f>VLOOKUP($A812,'8.Non-elective admissions - CCG'!$D$5:$Q$215,11,0)*$H812</f>
        <v>3179.014513502389</v>
      </c>
      <c r="S812" s="384">
        <f>VLOOKUP($A812,'8.Non-elective admissions - CCG'!$D$5:$Q$215,12,0)*$H812</f>
        <v>3058.538413357433</v>
      </c>
      <c r="T812" s="384">
        <f>VLOOKUP($A812,'8.Non-elective admissions - CCG'!$D$5:$Q$215,13,0)*$H812</f>
        <v>3204.2756312747188</v>
      </c>
      <c r="U812" s="384">
        <f>VLOOKUP($A812,'8.Non-elective admissions - CCG'!$D$5:$Q$215,14,0)*$H812</f>
        <v>3282.9737289500526</v>
      </c>
    </row>
    <row r="813" spans="1:21">
      <c r="A813" s="395" t="s">
        <v>614</v>
      </c>
      <c r="B813" s="395" t="s">
        <v>613</v>
      </c>
      <c r="C813" s="395" t="s">
        <v>757</v>
      </c>
      <c r="D813" s="395" t="s">
        <v>387</v>
      </c>
      <c r="E813" s="537">
        <f>COUNTIF($D$5:D813,D813)</f>
        <v>5</v>
      </c>
      <c r="F813" s="537" t="str">
        <f t="shared" si="24"/>
        <v>Sefton5</v>
      </c>
      <c r="G813" s="541" t="str">
        <f t="shared" si="25"/>
        <v>NHS West Lancashire CCG</v>
      </c>
      <c r="H813" s="546">
        <v>2.6843715886111061E-3</v>
      </c>
      <c r="I813" s="546">
        <v>1.0515615689298608E-3</v>
      </c>
      <c r="J813" s="384">
        <f>VLOOKUP($A813,'8.Non-elective admissions - CCG'!$D$5:$N$215,3,0)*$H813</f>
        <v>8.6034109414985949</v>
      </c>
      <c r="K813" s="384">
        <f>VLOOKUP($A813,'8.Non-elective admissions - CCG'!$D$5:$N$215,4,0)*$H813</f>
        <v>8.536301651783317</v>
      </c>
      <c r="L813" s="384">
        <f>VLOOKUP($A813,'8.Non-elective admissions - CCG'!$D$5:$N$215,5,0)*$H813</f>
        <v>9.3281912704235932</v>
      </c>
      <c r="M813" s="384">
        <f>VLOOKUP($A813,'8.Non-elective admissions - CCG'!$D$5:$N$215,6,0)*$H813</f>
        <v>8.922851160543317</v>
      </c>
      <c r="N813" s="384">
        <f>VLOOKUP($A813,'8.Non-elective admissions - CCG'!$D$5:$N$215,7,0)*$H813</f>
        <v>8.815476296998872</v>
      </c>
      <c r="O813" s="384">
        <f>VLOOKUP($A813,'8.Non-elective admissions - CCG'!$D$5:$N$215,8,0)*$H813</f>
        <v>8.4826142200110954</v>
      </c>
      <c r="P813" s="384">
        <f>VLOOKUP($A813,'8.Non-elective admissions - CCG'!$D$5:$N$215,9,0)*$H813</f>
        <v>8.8852699583027608</v>
      </c>
      <c r="Q813" s="384">
        <f>VLOOKUP($A813,'8.Non-elective admissions - CCG'!$D$5:$N$215,10,0)*$H813</f>
        <v>9.1053884285688724</v>
      </c>
      <c r="R813" s="384">
        <f>VLOOKUP($A813,'8.Non-elective admissions - CCG'!$D$5:$Q$215,11,0)*$H813</f>
        <v>8.7832638379355394</v>
      </c>
      <c r="S813" s="384">
        <f>VLOOKUP($A813,'8.Non-elective admissions - CCG'!$D$5:$Q$215,12,0)*$H813</f>
        <v>8.4504017609477629</v>
      </c>
      <c r="T813" s="384">
        <f>VLOOKUP($A813,'8.Non-elective admissions - CCG'!$D$5:$Q$215,13,0)*$H813</f>
        <v>8.8530574992394282</v>
      </c>
      <c r="U813" s="384">
        <f>VLOOKUP($A813,'8.Non-elective admissions - CCG'!$D$5:$Q$215,14,0)*$H813</f>
        <v>9.0704915979169272</v>
      </c>
    </row>
    <row r="814" spans="1:21">
      <c r="A814" s="395" t="s">
        <v>614</v>
      </c>
      <c r="B814" s="395" t="s">
        <v>613</v>
      </c>
      <c r="C814" s="395" t="s">
        <v>793</v>
      </c>
      <c r="D814" s="395" t="s">
        <v>495</v>
      </c>
      <c r="E814" s="537">
        <f>COUNTIF($D$5:D814,D814)</f>
        <v>5</v>
      </c>
      <c r="F814" s="537" t="str">
        <f t="shared" si="24"/>
        <v>Wigan5</v>
      </c>
      <c r="G814" s="541" t="str">
        <f t="shared" si="25"/>
        <v>NHS West Lancashire CCG</v>
      </c>
      <c r="H814" s="546">
        <v>2.5734175629485136E-2</v>
      </c>
      <c r="I814" s="546">
        <v>8.8412600332623201E-3</v>
      </c>
      <c r="J814" s="384">
        <f>VLOOKUP($A814,'8.Non-elective admissions - CCG'!$D$5:$N$215,3,0)*$H814</f>
        <v>82.478032892499854</v>
      </c>
      <c r="K814" s="384">
        <f>VLOOKUP($A814,'8.Non-elective admissions - CCG'!$D$5:$N$215,4,0)*$H814</f>
        <v>81.834678501762738</v>
      </c>
      <c r="L814" s="384">
        <f>VLOOKUP($A814,'8.Non-elective admissions - CCG'!$D$5:$N$215,5,0)*$H814</f>
        <v>89.42626031246084</v>
      </c>
      <c r="M814" s="384">
        <f>VLOOKUP($A814,'8.Non-elective admissions - CCG'!$D$5:$N$215,6,0)*$H814</f>
        <v>85.540399792408593</v>
      </c>
      <c r="N814" s="384">
        <f>VLOOKUP($A814,'8.Non-elective admissions - CCG'!$D$5:$N$215,7,0)*$H814</f>
        <v>84.511032767229182</v>
      </c>
      <c r="O814" s="384">
        <f>VLOOKUP($A814,'8.Non-elective admissions - CCG'!$D$5:$N$215,8,0)*$H814</f>
        <v>81.319994989173026</v>
      </c>
      <c r="P814" s="384">
        <f>VLOOKUP($A814,'8.Non-elective admissions - CCG'!$D$5:$N$215,9,0)*$H814</f>
        <v>85.180121333595793</v>
      </c>
      <c r="Q814" s="384">
        <f>VLOOKUP($A814,'8.Non-elective admissions - CCG'!$D$5:$N$215,10,0)*$H814</f>
        <v>87.290323735213576</v>
      </c>
      <c r="R814" s="384">
        <f>VLOOKUP($A814,'8.Non-elective admissions - CCG'!$D$5:$Q$215,11,0)*$H814</f>
        <v>84.202222659675357</v>
      </c>
      <c r="S814" s="384">
        <f>VLOOKUP($A814,'8.Non-elective admissions - CCG'!$D$5:$Q$215,12,0)*$H814</f>
        <v>81.011184881619201</v>
      </c>
      <c r="T814" s="384">
        <f>VLOOKUP($A814,'8.Non-elective admissions - CCG'!$D$5:$Q$215,13,0)*$H814</f>
        <v>84.871311226041982</v>
      </c>
      <c r="U814" s="384">
        <f>VLOOKUP($A814,'8.Non-elective admissions - CCG'!$D$5:$Q$215,14,0)*$H814</f>
        <v>86.955779452030271</v>
      </c>
    </row>
    <row r="815" spans="1:21">
      <c r="A815" s="395" t="s">
        <v>616</v>
      </c>
      <c r="B815" s="395" t="s">
        <v>615</v>
      </c>
      <c r="C815" s="395" t="s">
        <v>683</v>
      </c>
      <c r="D815" s="395" t="s">
        <v>146</v>
      </c>
      <c r="E815" s="537">
        <f>COUNTIF($D$5:D815,D815)</f>
        <v>14</v>
      </c>
      <c r="F815" s="537" t="str">
        <f t="shared" si="24"/>
        <v>Derbyshire14</v>
      </c>
      <c r="G815" s="541" t="str">
        <f t="shared" si="25"/>
        <v>NHS West Leicestershire CCG</v>
      </c>
      <c r="H815" s="546">
        <v>5.1872238408032945E-3</v>
      </c>
      <c r="I815" s="546">
        <v>2.4453905022553341E-3</v>
      </c>
      <c r="J815" s="384">
        <f>VLOOKUP($A815,'8.Non-elective admissions - CCG'!$D$5:$N$215,3,0)*$H815</f>
        <v>37.451756130599783</v>
      </c>
      <c r="K815" s="384">
        <f>VLOOKUP($A815,'8.Non-elective admissions - CCG'!$D$5:$N$215,4,0)*$H815</f>
        <v>37.814861799456018</v>
      </c>
      <c r="L815" s="384">
        <f>VLOOKUP($A815,'8.Non-elective admissions - CCG'!$D$5:$N$215,5,0)*$H815</f>
        <v>39.879376888095727</v>
      </c>
      <c r="M815" s="384">
        <f>VLOOKUP($A815,'8.Non-elective admissions - CCG'!$D$5:$N$215,6,0)*$H815</f>
        <v>41.949079200576243</v>
      </c>
      <c r="N815" s="384">
        <f>VLOOKUP($A815,'8.Non-elective admissions - CCG'!$D$5:$N$215,7,0)*$H815</f>
        <v>36.020082350538075</v>
      </c>
      <c r="O815" s="384">
        <f>VLOOKUP($A815,'8.Non-elective admissions - CCG'!$D$5:$N$215,8,0)*$H815</f>
        <v>38.120908006063409</v>
      </c>
      <c r="P815" s="384">
        <f>VLOOKUP($A815,'8.Non-elective admissions - CCG'!$D$5:$N$215,9,0)*$H815</f>
        <v>37.804487351774412</v>
      </c>
      <c r="Q815" s="384">
        <f>VLOOKUP($A815,'8.Non-elective admissions - CCG'!$D$5:$N$215,10,0)*$H815</f>
        <v>37.223518281604441</v>
      </c>
      <c r="R815" s="384">
        <f>VLOOKUP($A815,'8.Non-elective admissions - CCG'!$D$5:$Q$215,11,0)*$H815</f>
        <v>34.007439500306397</v>
      </c>
      <c r="S815" s="384">
        <f>VLOOKUP($A815,'8.Non-elective admissions - CCG'!$D$5:$Q$215,12,0)*$H815</f>
        <v>36.00452067901567</v>
      </c>
      <c r="T815" s="384">
        <f>VLOOKUP($A815,'8.Non-elective admissions - CCG'!$D$5:$Q$215,13,0)*$H815</f>
        <v>35.703661696249078</v>
      </c>
      <c r="U815" s="384">
        <f>VLOOKUP($A815,'8.Non-elective admissions - CCG'!$D$5:$Q$215,14,0)*$H815</f>
        <v>35.651789457841041</v>
      </c>
    </row>
    <row r="816" spans="1:21">
      <c r="A816" s="395" t="s">
        <v>616</v>
      </c>
      <c r="B816" s="395" t="s">
        <v>615</v>
      </c>
      <c r="C816" s="395" t="s">
        <v>720</v>
      </c>
      <c r="D816" s="395" t="s">
        <v>276</v>
      </c>
      <c r="E816" s="537">
        <f>COUNTIF($D$5:D816,D816)</f>
        <v>3</v>
      </c>
      <c r="F816" s="537" t="str">
        <f t="shared" si="24"/>
        <v>Leicester3</v>
      </c>
      <c r="G816" s="541" t="str">
        <f t="shared" si="25"/>
        <v>NHS West Leicestershire CCG</v>
      </c>
      <c r="H816" s="546">
        <v>2.6317769870023763E-2</v>
      </c>
      <c r="I816" s="546">
        <v>2.6621065766973234E-2</v>
      </c>
      <c r="J816" s="384">
        <f>VLOOKUP($A816,'8.Non-elective admissions - CCG'!$D$5:$N$215,3,0)*$H816</f>
        <v>190.01429846157157</v>
      </c>
      <c r="K816" s="384">
        <f>VLOOKUP($A816,'8.Non-elective admissions - CCG'!$D$5:$N$215,4,0)*$H816</f>
        <v>191.85654235247324</v>
      </c>
      <c r="L816" s="384">
        <f>VLOOKUP($A816,'8.Non-elective admissions - CCG'!$D$5:$N$215,5,0)*$H816</f>
        <v>202.33101476074268</v>
      </c>
      <c r="M816" s="384">
        <f>VLOOKUP($A816,'8.Non-elective admissions - CCG'!$D$5:$N$215,6,0)*$H816</f>
        <v>212.83180493888216</v>
      </c>
      <c r="N816" s="384">
        <f>VLOOKUP($A816,'8.Non-elective admissions - CCG'!$D$5:$N$215,7,0)*$H816</f>
        <v>182.75059397744502</v>
      </c>
      <c r="O816" s="384">
        <f>VLOOKUP($A816,'8.Non-elective admissions - CCG'!$D$5:$N$215,8,0)*$H816</f>
        <v>193.40929077480465</v>
      </c>
      <c r="P816" s="384">
        <f>VLOOKUP($A816,'8.Non-elective admissions - CCG'!$D$5:$N$215,9,0)*$H816</f>
        <v>191.80390681273317</v>
      </c>
      <c r="Q816" s="384">
        <f>VLOOKUP($A816,'8.Non-elective admissions - CCG'!$D$5:$N$215,10,0)*$H816</f>
        <v>188.85631658729051</v>
      </c>
      <c r="R816" s="384">
        <f>VLOOKUP($A816,'8.Non-elective admissions - CCG'!$D$5:$Q$215,11,0)*$H816</f>
        <v>172.53929926787578</v>
      </c>
      <c r="S816" s="384">
        <f>VLOOKUP($A816,'8.Non-elective admissions - CCG'!$D$5:$Q$215,12,0)*$H816</f>
        <v>182.67164066783494</v>
      </c>
      <c r="T816" s="384">
        <f>VLOOKUP($A816,'8.Non-elective admissions - CCG'!$D$5:$Q$215,13,0)*$H816</f>
        <v>181.14521001537355</v>
      </c>
      <c r="U816" s="384">
        <f>VLOOKUP($A816,'8.Non-elective admissions - CCG'!$D$5:$Q$215,14,0)*$H816</f>
        <v>180.88203231667333</v>
      </c>
    </row>
    <row r="817" spans="1:21">
      <c r="A817" s="395" t="s">
        <v>616</v>
      </c>
      <c r="B817" s="395" t="s">
        <v>615</v>
      </c>
      <c r="C817" s="395" t="s">
        <v>721</v>
      </c>
      <c r="D817" s="395" t="s">
        <v>279</v>
      </c>
      <c r="E817" s="537">
        <f>COUNTIF($D$5:D817,D817)</f>
        <v>8</v>
      </c>
      <c r="F817" s="537" t="str">
        <f t="shared" si="24"/>
        <v>Leicestershire8</v>
      </c>
      <c r="G817" s="541" t="str">
        <f t="shared" si="25"/>
        <v>NHS West Leicestershire CCG</v>
      </c>
      <c r="H817" s="546">
        <v>0.96206069858197973</v>
      </c>
      <c r="I817" s="546">
        <v>0.52555756214303539</v>
      </c>
      <c r="J817" s="384">
        <f>VLOOKUP($A817,'8.Non-elective admissions - CCG'!$D$5:$N$215,3,0)*$H817</f>
        <v>6946.0782437618936</v>
      </c>
      <c r="K817" s="384">
        <f>VLOOKUP($A817,'8.Non-elective admissions - CCG'!$D$5:$N$215,4,0)*$H817</f>
        <v>7013.4224926626321</v>
      </c>
      <c r="L817" s="384">
        <f>VLOOKUP($A817,'8.Non-elective admissions - CCG'!$D$5:$N$215,5,0)*$H817</f>
        <v>7396.3226506982601</v>
      </c>
      <c r="M817" s="384">
        <f>VLOOKUP($A817,'8.Non-elective admissions - CCG'!$D$5:$N$215,6,0)*$H817</f>
        <v>7780.1848694324699</v>
      </c>
      <c r="N817" s="384">
        <f>VLOOKUP($A817,'8.Non-elective admissions - CCG'!$D$5:$N$215,7,0)*$H817</f>
        <v>6680.5494909532672</v>
      </c>
      <c r="O817" s="384">
        <f>VLOOKUP($A817,'8.Non-elective admissions - CCG'!$D$5:$N$215,8,0)*$H817</f>
        <v>7070.1840738789688</v>
      </c>
      <c r="P817" s="384">
        <f>VLOOKUP($A817,'8.Non-elective admissions - CCG'!$D$5:$N$215,9,0)*$H817</f>
        <v>7011.4983712654684</v>
      </c>
      <c r="Q817" s="384">
        <f>VLOOKUP($A817,'8.Non-elective admissions - CCG'!$D$5:$N$215,10,0)*$H817</f>
        <v>6903.7475730242868</v>
      </c>
      <c r="R817" s="384">
        <f>VLOOKUP($A817,'8.Non-elective admissions - CCG'!$D$5:$Q$215,11,0)*$H817</f>
        <v>6307.2699399034591</v>
      </c>
      <c r="S817" s="384">
        <f>VLOOKUP($A817,'8.Non-elective admissions - CCG'!$D$5:$Q$215,12,0)*$H817</f>
        <v>6677.6633088575218</v>
      </c>
      <c r="T817" s="384">
        <f>VLOOKUP($A817,'8.Non-elective admissions - CCG'!$D$5:$Q$215,13,0)*$H817</f>
        <v>6621.8637883397669</v>
      </c>
      <c r="U817" s="384">
        <f>VLOOKUP($A817,'8.Non-elective admissions - CCG'!$D$5:$Q$215,14,0)*$H817</f>
        <v>6612.243181353947</v>
      </c>
    </row>
    <row r="818" spans="1:21">
      <c r="A818" s="395" t="s">
        <v>616</v>
      </c>
      <c r="B818" s="395" t="s">
        <v>615</v>
      </c>
      <c r="C818" s="395" t="s">
        <v>742</v>
      </c>
      <c r="D818" s="395" t="s">
        <v>342</v>
      </c>
      <c r="E818" s="537">
        <f>COUNTIF($D$5:D818,D818)</f>
        <v>15</v>
      </c>
      <c r="F818" s="537" t="str">
        <f t="shared" si="24"/>
        <v>Nottinghamshire15</v>
      </c>
      <c r="G818" s="541" t="str">
        <f t="shared" si="25"/>
        <v>NHS West Leicestershire CCG</v>
      </c>
      <c r="H818" s="546">
        <v>9.7831579173699433E-4</v>
      </c>
      <c r="I818" s="546">
        <v>0</v>
      </c>
      <c r="J818" s="384">
        <f>VLOOKUP($A818,'8.Non-elective admissions - CCG'!$D$5:$N$215,3,0)*$H818</f>
        <v>7.0634400163410991</v>
      </c>
      <c r="K818" s="384">
        <f>VLOOKUP($A818,'8.Non-elective admissions - CCG'!$D$5:$N$215,4,0)*$H818</f>
        <v>7.1319221217626882</v>
      </c>
      <c r="L818" s="384">
        <f>VLOOKUP($A818,'8.Non-elective admissions - CCG'!$D$5:$N$215,5,0)*$H818</f>
        <v>7.5212918068740127</v>
      </c>
      <c r="M818" s="384">
        <f>VLOOKUP($A818,'8.Non-elective admissions - CCG'!$D$5:$N$215,6,0)*$H818</f>
        <v>7.9116398077770729</v>
      </c>
      <c r="N818" s="384">
        <f>VLOOKUP($A818,'8.Non-elective admissions - CCG'!$D$5:$N$215,7,0)*$H818</f>
        <v>6.7934248578216883</v>
      </c>
      <c r="O818" s="384">
        <f>VLOOKUP($A818,'8.Non-elective admissions - CCG'!$D$5:$N$215,8,0)*$H818</f>
        <v>7.1896427534751712</v>
      </c>
      <c r="P818" s="384">
        <f>VLOOKUP($A818,'8.Non-elective admissions - CCG'!$D$5:$N$215,9,0)*$H818</f>
        <v>7.1299654901792149</v>
      </c>
      <c r="Q818" s="384">
        <f>VLOOKUP($A818,'8.Non-elective admissions - CCG'!$D$5:$N$215,10,0)*$H818</f>
        <v>7.0203941215046717</v>
      </c>
      <c r="R818" s="384">
        <f>VLOOKUP($A818,'8.Non-elective admissions - CCG'!$D$5:$Q$215,11,0)*$H818</f>
        <v>6.4138383306277351</v>
      </c>
      <c r="S818" s="384">
        <f>VLOOKUP($A818,'8.Non-elective admissions - CCG'!$D$5:$Q$215,12,0)*$H818</f>
        <v>6.7904899104464773</v>
      </c>
      <c r="T818" s="384">
        <f>VLOOKUP($A818,'8.Non-elective admissions - CCG'!$D$5:$Q$215,13,0)*$H818</f>
        <v>6.7337475945257319</v>
      </c>
      <c r="U818" s="384">
        <f>VLOOKUP($A818,'8.Non-elective admissions - CCG'!$D$5:$Q$215,14,0)*$H818</f>
        <v>6.7239644366083624</v>
      </c>
    </row>
    <row r="819" spans="1:21">
      <c r="A819" s="395" t="s">
        <v>616</v>
      </c>
      <c r="B819" s="395" t="s">
        <v>615</v>
      </c>
      <c r="C819" s="395" t="s">
        <v>789</v>
      </c>
      <c r="D819" s="395" t="s">
        <v>483</v>
      </c>
      <c r="E819" s="537">
        <f>COUNTIF($D$5:D819,D819)</f>
        <v>11</v>
      </c>
      <c r="F819" s="537" t="str">
        <f t="shared" si="24"/>
        <v>Warwickshire11</v>
      </c>
      <c r="G819" s="541" t="str">
        <f t="shared" si="25"/>
        <v>NHS West Leicestershire CCG</v>
      </c>
      <c r="H819" s="546">
        <v>5.4559919154563152E-3</v>
      </c>
      <c r="I819" s="546">
        <v>3.5332121946295178E-3</v>
      </c>
      <c r="J819" s="384">
        <f>VLOOKUP($A819,'8.Non-elective admissions - CCG'!$D$5:$N$215,3,0)*$H819</f>
        <v>39.392261629594593</v>
      </c>
      <c r="K819" s="384">
        <f>VLOOKUP($A819,'8.Non-elective admissions - CCG'!$D$5:$N$215,4,0)*$H819</f>
        <v>39.774181063676536</v>
      </c>
      <c r="L819" s="384">
        <f>VLOOKUP($A819,'8.Non-elective admissions - CCG'!$D$5:$N$215,5,0)*$H819</f>
        <v>41.945665846028149</v>
      </c>
      <c r="M819" s="384">
        <f>VLOOKUP($A819,'8.Non-elective admissions - CCG'!$D$5:$N$215,6,0)*$H819</f>
        <v>44.122606620295223</v>
      </c>
      <c r="N819" s="384">
        <f>VLOOKUP($A819,'8.Non-elective admissions - CCG'!$D$5:$N$215,7,0)*$H819</f>
        <v>37.886407860928657</v>
      </c>
      <c r="O819" s="384">
        <f>VLOOKUP($A819,'8.Non-elective admissions - CCG'!$D$5:$N$215,8,0)*$H819</f>
        <v>40.096084586688463</v>
      </c>
      <c r="P819" s="384">
        <f>VLOOKUP($A819,'8.Non-elective admissions - CCG'!$D$5:$N$215,9,0)*$H819</f>
        <v>39.763269079845628</v>
      </c>
      <c r="Q819" s="384">
        <f>VLOOKUP($A819,'8.Non-elective admissions - CCG'!$D$5:$N$215,10,0)*$H819</f>
        <v>39.152197985314515</v>
      </c>
      <c r="R819" s="384">
        <f>VLOOKUP($A819,'8.Non-elective admissions - CCG'!$D$5:$Q$215,11,0)*$H819</f>
        <v>35.7694829977316</v>
      </c>
      <c r="S819" s="384">
        <f>VLOOKUP($A819,'8.Non-elective admissions - CCG'!$D$5:$Q$215,12,0)*$H819</f>
        <v>37.870039885182287</v>
      </c>
      <c r="T819" s="384">
        <f>VLOOKUP($A819,'8.Non-elective admissions - CCG'!$D$5:$Q$215,13,0)*$H819</f>
        <v>37.553592354085815</v>
      </c>
      <c r="U819" s="384">
        <f>VLOOKUP($A819,'8.Non-elective admissions - CCG'!$D$5:$Q$215,14,0)*$H819</f>
        <v>37.499032434931252</v>
      </c>
    </row>
    <row r="820" spans="1:21">
      <c r="A820" s="395" t="s">
        <v>618</v>
      </c>
      <c r="B820" s="395" t="s">
        <v>617</v>
      </c>
      <c r="C820" s="395" t="s">
        <v>663</v>
      </c>
      <c r="D820" s="395" t="s">
        <v>72</v>
      </c>
      <c r="E820" s="537">
        <f>COUNTIF($D$5:D820,D820)</f>
        <v>8</v>
      </c>
      <c r="F820" s="537" t="str">
        <f t="shared" si="24"/>
        <v>Brent8</v>
      </c>
      <c r="G820" s="541" t="str">
        <f t="shared" si="25"/>
        <v>NHS West London (K&amp;C &amp; QPP) CCG</v>
      </c>
      <c r="H820" s="546">
        <v>4.2762406638302192E-2</v>
      </c>
      <c r="I820" s="546">
        <v>2.7687943107041244E-2</v>
      </c>
      <c r="J820" s="384">
        <f>VLOOKUP($A820,'8.Non-elective admissions - CCG'!$D$5:$N$215,3,0)*$H820</f>
        <v>192.47359227899815</v>
      </c>
      <c r="K820" s="384">
        <f>VLOOKUP($A820,'8.Non-elective admissions - CCG'!$D$5:$N$215,4,0)*$H820</f>
        <v>194.22685095116856</v>
      </c>
      <c r="L820" s="384">
        <f>VLOOKUP($A820,'8.Non-elective admissions - CCG'!$D$5:$N$215,5,0)*$H820</f>
        <v>192.17425543253006</v>
      </c>
      <c r="M820" s="384">
        <f>VLOOKUP($A820,'8.Non-elective admissions - CCG'!$D$5:$N$215,6,0)*$H820</f>
        <v>188.79602530810416</v>
      </c>
      <c r="N820" s="384">
        <f>VLOOKUP($A820,'8.Non-elective admissions - CCG'!$D$5:$N$215,7,0)*$H820</f>
        <v>217.45299689789084</v>
      </c>
      <c r="O820" s="384">
        <f>VLOOKUP($A820,'8.Non-elective admissions - CCG'!$D$5:$N$215,8,0)*$H820</f>
        <v>217.47162213252199</v>
      </c>
      <c r="P820" s="384">
        <f>VLOOKUP($A820,'8.Non-elective admissions - CCG'!$D$5:$N$215,9,0)*$H820</f>
        <v>209.06759566520518</v>
      </c>
      <c r="Q820" s="384">
        <f>VLOOKUP($A820,'8.Non-elective admissions - CCG'!$D$5:$N$215,10,0)*$H820</f>
        <v>220.49744502095342</v>
      </c>
      <c r="R820" s="384">
        <f>VLOOKUP($A820,'8.Non-elective admissions - CCG'!$D$5:$Q$215,11,0)*$H820</f>
        <v>213.01855961854591</v>
      </c>
      <c r="S820" s="384">
        <f>VLOOKUP($A820,'8.Non-elective admissions - CCG'!$D$5:$Q$215,12,0)*$H820</f>
        <v>212.99872833437914</v>
      </c>
      <c r="T820" s="384">
        <f>VLOOKUP($A820,'8.Non-elective admissions - CCG'!$D$5:$Q$215,13,0)*$H820</f>
        <v>204.55701044041516</v>
      </c>
      <c r="U820" s="384">
        <f>VLOOKUP($A820,'8.Non-elective admissions - CCG'!$D$5:$Q$215,14,0)*$H820</f>
        <v>216.1792965302412</v>
      </c>
    </row>
    <row r="821" spans="1:21">
      <c r="A821" s="395" t="s">
        <v>618</v>
      </c>
      <c r="B821" s="395" t="s">
        <v>617</v>
      </c>
      <c r="C821" s="395" t="s">
        <v>671</v>
      </c>
      <c r="D821" s="395" t="s">
        <v>102</v>
      </c>
      <c r="E821" s="537">
        <f>COUNTIF($D$5:D821,D821)</f>
        <v>7</v>
      </c>
      <c r="F821" s="537" t="str">
        <f t="shared" si="24"/>
        <v>Camden7</v>
      </c>
      <c r="G821" s="541" t="str">
        <f t="shared" si="25"/>
        <v>NHS West London (K&amp;C &amp; QPP) CCG</v>
      </c>
      <c r="H821" s="546">
        <v>2.1738578787545569E-3</v>
      </c>
      <c r="I821" s="546">
        <v>2.1028945484299886E-3</v>
      </c>
      <c r="J821" s="384">
        <f>VLOOKUP($A821,'8.Non-elective admissions - CCG'!$D$5:$N$215,3,0)*$H821</f>
        <v>9.7845343122742605</v>
      </c>
      <c r="K821" s="384">
        <f>VLOOKUP($A821,'8.Non-elective admissions - CCG'!$D$5:$N$215,4,0)*$H821</f>
        <v>9.873662485303198</v>
      </c>
      <c r="L821" s="384">
        <f>VLOOKUP($A821,'8.Non-elective admissions - CCG'!$D$5:$N$215,5,0)*$H821</f>
        <v>9.7693173071229786</v>
      </c>
      <c r="M821" s="384">
        <f>VLOOKUP($A821,'8.Non-elective admissions - CCG'!$D$5:$N$215,6,0)*$H821</f>
        <v>9.5975825347013686</v>
      </c>
      <c r="N821" s="384">
        <f>VLOOKUP($A821,'8.Non-elective admissions - CCG'!$D$5:$N$215,7,0)*$H821</f>
        <v>11.054380417912757</v>
      </c>
      <c r="O821" s="384">
        <f>VLOOKUP($A821,'8.Non-elective admissions - CCG'!$D$5:$N$215,8,0)*$H821</f>
        <v>11.05532724519002</v>
      </c>
      <c r="P821" s="384">
        <f>VLOOKUP($A821,'8.Non-elective admissions - CCG'!$D$5:$N$215,9,0)*$H821</f>
        <v>10.628102479667239</v>
      </c>
      <c r="Q821" s="384">
        <f>VLOOKUP($A821,'8.Non-elective admissions - CCG'!$D$5:$N$215,10,0)*$H821</f>
        <v>11.20914714081397</v>
      </c>
      <c r="R821" s="384">
        <f>VLOOKUP($A821,'8.Non-elective admissions - CCG'!$D$5:$Q$215,11,0)*$H821</f>
        <v>10.828952590637186</v>
      </c>
      <c r="S821" s="384">
        <f>VLOOKUP($A821,'8.Non-elective admissions - CCG'!$D$5:$Q$215,12,0)*$H821</f>
        <v>10.827944452959239</v>
      </c>
      <c r="T821" s="384">
        <f>VLOOKUP($A821,'8.Non-elective admissions - CCG'!$D$5:$Q$215,13,0)*$H821</f>
        <v>10.398803616494252</v>
      </c>
      <c r="U821" s="384">
        <f>VLOOKUP($A821,'8.Non-elective admissions - CCG'!$D$5:$Q$215,14,0)*$H821</f>
        <v>10.989630938239934</v>
      </c>
    </row>
    <row r="822" spans="1:21">
      <c r="A822" s="395" t="s">
        <v>618</v>
      </c>
      <c r="B822" s="395" t="s">
        <v>617</v>
      </c>
      <c r="C822" s="395" t="s">
        <v>688</v>
      </c>
      <c r="D822" s="395" t="s">
        <v>166</v>
      </c>
      <c r="E822" s="537">
        <f>COUNTIF($D$5:D822,D822)</f>
        <v>8</v>
      </c>
      <c r="F822" s="537" t="str">
        <f t="shared" si="24"/>
        <v>Ealing8</v>
      </c>
      <c r="G822" s="541" t="str">
        <f t="shared" si="25"/>
        <v>NHS West London (K&amp;C &amp; QPP) CCG</v>
      </c>
      <c r="H822" s="546">
        <v>5.1935748543007702E-3</v>
      </c>
      <c r="I822" s="546">
        <v>3.1190707810630747E-3</v>
      </c>
      <c r="J822" s="384">
        <f>VLOOKUP($A822,'8.Non-elective admissions - CCG'!$D$5:$N$215,3,0)*$H822</f>
        <v>23.376280419207767</v>
      </c>
      <c r="K822" s="384">
        <f>VLOOKUP($A822,'8.Non-elective admissions - CCG'!$D$5:$N$215,4,0)*$H822</f>
        <v>23.589216988234099</v>
      </c>
      <c r="L822" s="384">
        <f>VLOOKUP($A822,'8.Non-elective admissions - CCG'!$D$5:$N$215,5,0)*$H822</f>
        <v>23.33992539522766</v>
      </c>
      <c r="M822" s="384">
        <f>VLOOKUP($A822,'8.Non-elective admissions - CCG'!$D$5:$N$215,6,0)*$H822</f>
        <v>22.9296329817379</v>
      </c>
      <c r="N822" s="384">
        <f>VLOOKUP($A822,'8.Non-elective admissions - CCG'!$D$5:$N$215,7,0)*$H822</f>
        <v>26.410076173534758</v>
      </c>
      <c r="O822" s="384">
        <f>VLOOKUP($A822,'8.Non-elective admissions - CCG'!$D$5:$N$215,8,0)*$H822</f>
        <v>26.412338243372265</v>
      </c>
      <c r="P822" s="384">
        <f>VLOOKUP($A822,'8.Non-elective admissions - CCG'!$D$5:$N$215,9,0)*$H822</f>
        <v>25.391653395002663</v>
      </c>
      <c r="Q822" s="384">
        <f>VLOOKUP($A822,'8.Non-elective admissions - CCG'!$D$5:$N$215,10,0)*$H822</f>
        <v>26.779830134084737</v>
      </c>
      <c r="R822" s="384">
        <f>VLOOKUP($A822,'8.Non-elective admissions - CCG'!$D$5:$Q$215,11,0)*$H822</f>
        <v>25.871505411094287</v>
      </c>
      <c r="S822" s="384">
        <f>VLOOKUP($A822,'8.Non-elective admissions - CCG'!$D$5:$Q$215,12,0)*$H822</f>
        <v>25.869096864268375</v>
      </c>
      <c r="T822" s="384">
        <f>VLOOKUP($A822,'8.Non-elective admissions - CCG'!$D$5:$Q$215,13,0)*$H822</f>
        <v>24.84383432111856</v>
      </c>
      <c r="U822" s="384">
        <f>VLOOKUP($A822,'8.Non-elective admissions - CCG'!$D$5:$Q$215,14,0)*$H822</f>
        <v>26.255382864121867</v>
      </c>
    </row>
    <row r="823" spans="1:21">
      <c r="A823" s="395" t="s">
        <v>618</v>
      </c>
      <c r="B823" s="395" t="s">
        <v>617</v>
      </c>
      <c r="C823" s="395" t="s">
        <v>698</v>
      </c>
      <c r="D823" s="395" t="s">
        <v>202</v>
      </c>
      <c r="E823" s="537">
        <f>COUNTIF($D$5:D823,D823)</f>
        <v>7</v>
      </c>
      <c r="F823" s="537" t="str">
        <f t="shared" si="24"/>
        <v>Hammersmith and Fulham7</v>
      </c>
      <c r="G823" s="541" t="str">
        <f t="shared" si="25"/>
        <v>NHS West London (K&amp;C &amp; QPP) CCG</v>
      </c>
      <c r="H823" s="546">
        <v>5.957385618703636E-2</v>
      </c>
      <c r="I823" s="546">
        <v>6.7531869807223033E-2</v>
      </c>
      <c r="J823" s="384">
        <f>VLOOKUP($A823,'8.Non-elective admissions - CCG'!$D$5:$N$215,3,0)*$H823</f>
        <v>268.14192669785064</v>
      </c>
      <c r="K823" s="384">
        <f>VLOOKUP($A823,'8.Non-elective admissions - CCG'!$D$5:$N$215,4,0)*$H823</f>
        <v>270.58445480151914</v>
      </c>
      <c r="L823" s="384">
        <f>VLOOKUP($A823,'8.Non-elective admissions - CCG'!$D$5:$N$215,5,0)*$H823</f>
        <v>267.7249097045414</v>
      </c>
      <c r="M823" s="384">
        <f>VLOOKUP($A823,'8.Non-elective admissions - CCG'!$D$5:$N$215,6,0)*$H823</f>
        <v>263.0185750657655</v>
      </c>
      <c r="N823" s="384">
        <f>VLOOKUP($A823,'8.Non-elective admissions - CCG'!$D$5:$N$215,7,0)*$H823</f>
        <v>302.94163923486207</v>
      </c>
      <c r="O823" s="384">
        <f>VLOOKUP($A823,'8.Non-elective admissions - CCG'!$D$5:$N$215,8,0)*$H823</f>
        <v>302.96758672324245</v>
      </c>
      <c r="P823" s="384">
        <f>VLOOKUP($A823,'8.Non-elective admissions - CCG'!$D$5:$N$215,9,0)*$H823</f>
        <v>291.25963332411038</v>
      </c>
      <c r="Q823" s="384">
        <f>VLOOKUP($A823,'8.Non-elective admissions - CCG'!$D$5:$N$215,10,0)*$H823</f>
        <v>307.18297008853227</v>
      </c>
      <c r="R823" s="384">
        <f>VLOOKUP($A823,'8.Non-elective admissions - CCG'!$D$5:$Q$215,11,0)*$H823</f>
        <v>296.76386418621672</v>
      </c>
      <c r="S823" s="384">
        <f>VLOOKUP($A823,'8.Non-elective admissions - CCG'!$D$5:$Q$215,12,0)*$H823</f>
        <v>296.73623650658334</v>
      </c>
      <c r="T823" s="384">
        <f>VLOOKUP($A823,'8.Non-elective admissions - CCG'!$D$5:$Q$215,13,0)*$H823</f>
        <v>284.97577381700006</v>
      </c>
      <c r="U823" s="384">
        <f>VLOOKUP($A823,'8.Non-elective admissions - CCG'!$D$5:$Q$215,14,0)*$H823</f>
        <v>301.1672011596259</v>
      </c>
    </row>
    <row r="824" spans="1:21">
      <c r="A824" s="395" t="s">
        <v>618</v>
      </c>
      <c r="B824" s="395" t="s">
        <v>617</v>
      </c>
      <c r="C824" s="395" t="s">
        <v>701</v>
      </c>
      <c r="D824" s="395" t="s">
        <v>212</v>
      </c>
      <c r="E824" s="537">
        <f>COUNTIF($D$5:D824,D824)</f>
        <v>7</v>
      </c>
      <c r="F824" s="537" t="str">
        <f t="shared" si="24"/>
        <v>Harrow7</v>
      </c>
      <c r="G824" s="541" t="str">
        <f t="shared" si="25"/>
        <v>NHS West London (K&amp;C &amp; QPP) CCG</v>
      </c>
      <c r="H824" s="546">
        <v>9.8542584776227971E-4</v>
      </c>
      <c r="I824" s="546">
        <v>0</v>
      </c>
      <c r="J824" s="384">
        <f>VLOOKUP($A824,'8.Non-elective admissions - CCG'!$D$5:$N$215,3,0)*$H824</f>
        <v>4.4354017407780209</v>
      </c>
      <c r="K824" s="384">
        <f>VLOOKUP($A824,'8.Non-elective admissions - CCG'!$D$5:$N$215,4,0)*$H824</f>
        <v>4.4758042005362748</v>
      </c>
      <c r="L824" s="384">
        <f>VLOOKUP($A824,'8.Non-elective admissions - CCG'!$D$5:$N$215,5,0)*$H824</f>
        <v>4.4285037598436849</v>
      </c>
      <c r="M824" s="384">
        <f>VLOOKUP($A824,'8.Non-elective admissions - CCG'!$D$5:$N$215,6,0)*$H824</f>
        <v>4.3506551178704651</v>
      </c>
      <c r="N824" s="384">
        <f>VLOOKUP($A824,'8.Non-elective admissions - CCG'!$D$5:$N$215,7,0)*$H824</f>
        <v>5.0110323684312688</v>
      </c>
      <c r="O824" s="384">
        <f>VLOOKUP($A824,'8.Non-elective admissions - CCG'!$D$5:$N$215,8,0)*$H824</f>
        <v>5.0114615722359428</v>
      </c>
      <c r="P824" s="384">
        <f>VLOOKUP($A824,'8.Non-elective admissions - CCG'!$D$5:$N$215,9,0)*$H824</f>
        <v>4.8177974275534368</v>
      </c>
      <c r="Q824" s="384">
        <f>VLOOKUP($A824,'8.Non-elective admissions - CCG'!$D$5:$N$215,10,0)*$H824</f>
        <v>5.0811892681121691</v>
      </c>
      <c r="R824" s="384">
        <f>VLOOKUP($A824,'8.Non-elective admissions - CCG'!$D$5:$Q$215,11,0)*$H824</f>
        <v>4.9088442677402027</v>
      </c>
      <c r="S824" s="384">
        <f>VLOOKUP($A824,'8.Non-elective admissions - CCG'!$D$5:$Q$215,12,0)*$H824</f>
        <v>4.9083872714776318</v>
      </c>
      <c r="T824" s="384">
        <f>VLOOKUP($A824,'8.Non-elective admissions - CCG'!$D$5:$Q$215,13,0)*$H824</f>
        <v>4.7138545576715183</v>
      </c>
      <c r="U824" s="384">
        <f>VLOOKUP($A824,'8.Non-elective admissions - CCG'!$D$5:$Q$215,14,0)*$H824</f>
        <v>4.9816809506029278</v>
      </c>
    </row>
    <row r="825" spans="1:21">
      <c r="A825" s="395" t="s">
        <v>618</v>
      </c>
      <c r="B825" s="395" t="s">
        <v>617</v>
      </c>
      <c r="C825" s="395" t="s">
        <v>707</v>
      </c>
      <c r="D825" s="395" t="s">
        <v>234</v>
      </c>
      <c r="E825" s="537">
        <f>COUNTIF($D$5:D825,D825)</f>
        <v>7</v>
      </c>
      <c r="F825" s="537" t="str">
        <f t="shared" si="24"/>
        <v>Hounslow7</v>
      </c>
      <c r="G825" s="541" t="str">
        <f t="shared" si="25"/>
        <v>NHS West London (K&amp;C &amp; QPP) CCG</v>
      </c>
      <c r="H825" s="546">
        <v>1.1419097806687362E-3</v>
      </c>
      <c r="I825" s="546">
        <v>9.0643265037549823E-4</v>
      </c>
      <c r="J825" s="384">
        <f>VLOOKUP($A825,'8.Non-elective admissions - CCG'!$D$5:$N$215,3,0)*$H825</f>
        <v>5.1397359227899821</v>
      </c>
      <c r="K825" s="384">
        <f>VLOOKUP($A825,'8.Non-elective admissions - CCG'!$D$5:$N$215,4,0)*$H825</f>
        <v>5.1865542237974003</v>
      </c>
      <c r="L825" s="384">
        <f>VLOOKUP($A825,'8.Non-elective admissions - CCG'!$D$5:$N$215,5,0)*$H825</f>
        <v>5.1317425543253004</v>
      </c>
      <c r="M825" s="384">
        <f>VLOOKUP($A825,'8.Non-elective admissions - CCG'!$D$5:$N$215,6,0)*$H825</f>
        <v>5.0415316816524705</v>
      </c>
      <c r="N825" s="384">
        <f>VLOOKUP($A825,'8.Non-elective admissions - CCG'!$D$5:$N$215,7,0)*$H825</f>
        <v>5.80677570590748</v>
      </c>
      <c r="O825" s="384">
        <f>VLOOKUP($A825,'8.Non-elective admissions - CCG'!$D$5:$N$215,8,0)*$H825</f>
        <v>5.8072730665395049</v>
      </c>
      <c r="P825" s="384">
        <f>VLOOKUP($A825,'8.Non-elective admissions - CCG'!$D$5:$N$215,9,0)*$H825</f>
        <v>5.5828553881520522</v>
      </c>
      <c r="Q825" s="384">
        <f>VLOOKUP($A825,'8.Non-elective admissions - CCG'!$D$5:$N$215,10,0)*$H825</f>
        <v>5.8880734008166771</v>
      </c>
      <c r="R825" s="384">
        <f>VLOOKUP($A825,'8.Non-elective admissions - CCG'!$D$5:$Q$215,11,0)*$H825</f>
        <v>5.688360310256888</v>
      </c>
      <c r="S825" s="384">
        <f>VLOOKUP($A825,'8.Non-elective admissions - CCG'!$D$5:$Q$215,12,0)*$H825</f>
        <v>5.6878307437723636</v>
      </c>
      <c r="T825" s="384">
        <f>VLOOKUP($A825,'8.Non-elective admissions - CCG'!$D$5:$Q$215,13,0)*$H825</f>
        <v>5.4624065689755801</v>
      </c>
      <c r="U825" s="384">
        <f>VLOOKUP($A825,'8.Non-elective admissions - CCG'!$D$5:$Q$215,14,0)*$H825</f>
        <v>5.7727633333166972</v>
      </c>
    </row>
    <row r="826" spans="1:21">
      <c r="A826" s="395" t="s">
        <v>618</v>
      </c>
      <c r="B826" s="395" t="s">
        <v>617</v>
      </c>
      <c r="C826" s="395" t="s">
        <v>711</v>
      </c>
      <c r="D826" s="395" t="s">
        <v>248</v>
      </c>
      <c r="E826" s="537">
        <f>COUNTIF($D$5:D826,D826)</f>
        <v>5</v>
      </c>
      <c r="F826" s="537" t="str">
        <f t="shared" si="24"/>
        <v>Kensington and Chelsea5</v>
      </c>
      <c r="G826" s="541" t="str">
        <f t="shared" si="25"/>
        <v>NHS West London (K&amp;C &amp; QPP) CCG</v>
      </c>
      <c r="H826" s="546">
        <v>0.63242347089821771</v>
      </c>
      <c r="I826" s="546">
        <v>0.9324254385144447</v>
      </c>
      <c r="J826" s="384">
        <f>VLOOKUP($A826,'8.Non-elective admissions - CCG'!$D$5:$N$215,3,0)*$H826</f>
        <v>2846.5380425128778</v>
      </c>
      <c r="K826" s="384">
        <f>VLOOKUP($A826,'8.Non-elective admissions - CCG'!$D$5:$N$215,4,0)*$H826</f>
        <v>2872.4674048197048</v>
      </c>
      <c r="L826" s="384">
        <f>VLOOKUP($A826,'8.Non-elective admissions - CCG'!$D$5:$N$215,5,0)*$H826</f>
        <v>2842.1110782165906</v>
      </c>
      <c r="M826" s="384">
        <f>VLOOKUP($A826,'8.Non-elective admissions - CCG'!$D$5:$N$215,6,0)*$H826</f>
        <v>2792.1496240156312</v>
      </c>
      <c r="N826" s="384">
        <f>VLOOKUP($A826,'8.Non-elective admissions - CCG'!$D$5:$N$215,7,0)*$H826</f>
        <v>3215.9644385450702</v>
      </c>
      <c r="O826" s="384">
        <f>VLOOKUP($A826,'8.Non-elective admissions - CCG'!$D$5:$N$215,8,0)*$H826</f>
        <v>3216.2398915996973</v>
      </c>
      <c r="P826" s="384">
        <f>VLOOKUP($A826,'8.Non-elective admissions - CCG'!$D$5:$N$215,9,0)*$H826</f>
        <v>3091.9507318960327</v>
      </c>
      <c r="Q826" s="384">
        <f>VLOOKUP($A826,'8.Non-elective admissions - CCG'!$D$5:$N$215,10,0)*$H826</f>
        <v>3260.9895108063738</v>
      </c>
      <c r="R826" s="384">
        <f>VLOOKUP($A826,'8.Non-elective admissions - CCG'!$D$5:$Q$215,11,0)*$H826</f>
        <v>3150.3824838294568</v>
      </c>
      <c r="S826" s="384">
        <f>VLOOKUP($A826,'8.Non-elective admissions - CCG'!$D$5:$Q$215,12,0)*$H826</f>
        <v>3150.0891942194685</v>
      </c>
      <c r="T826" s="384">
        <f>VLOOKUP($A826,'8.Non-elective admissions - CCG'!$D$5:$Q$215,13,0)*$H826</f>
        <v>3025.2426069822009</v>
      </c>
      <c r="U826" s="384">
        <f>VLOOKUP($A826,'8.Non-elective admissions - CCG'!$D$5:$Q$215,14,0)*$H826</f>
        <v>3197.1273788302924</v>
      </c>
    </row>
    <row r="827" spans="1:21">
      <c r="A827" s="395" t="s">
        <v>618</v>
      </c>
      <c r="B827" s="395" t="s">
        <v>617</v>
      </c>
      <c r="C827" s="395" t="s">
        <v>787</v>
      </c>
      <c r="D827" s="395" t="s">
        <v>477</v>
      </c>
      <c r="E827" s="537">
        <f>COUNTIF($D$5:D827,D827)</f>
        <v>7</v>
      </c>
      <c r="F827" s="537" t="str">
        <f t="shared" si="24"/>
        <v>Wandsworth7</v>
      </c>
      <c r="G827" s="541" t="str">
        <f t="shared" si="25"/>
        <v>NHS West London (K&amp;C &amp; QPP) CCG</v>
      </c>
      <c r="H827" s="546">
        <v>4.2546712568620323E-3</v>
      </c>
      <c r="I827" s="546">
        <v>2.8756824743446821E-3</v>
      </c>
      <c r="J827" s="384">
        <f>VLOOKUP($A827,'8.Non-elective admissions - CCG'!$D$5:$N$215,3,0)*$H827</f>
        <v>19.150275327136008</v>
      </c>
      <c r="K827" s="384">
        <f>VLOOKUP($A827,'8.Non-elective admissions - CCG'!$D$5:$N$215,4,0)*$H827</f>
        <v>19.32471684866735</v>
      </c>
      <c r="L827" s="384">
        <f>VLOOKUP($A827,'8.Non-elective admissions - CCG'!$D$5:$N$215,5,0)*$H827</f>
        <v>19.120492628337974</v>
      </c>
      <c r="M827" s="384">
        <f>VLOOKUP($A827,'8.Non-elective admissions - CCG'!$D$5:$N$215,6,0)*$H827</f>
        <v>18.784373599045871</v>
      </c>
      <c r="N827" s="384">
        <f>VLOOKUP($A827,'8.Non-elective admissions - CCG'!$D$5:$N$215,7,0)*$H827</f>
        <v>21.635616148677499</v>
      </c>
      <c r="O827" s="384">
        <f>VLOOKUP($A827,'8.Non-elective admissions - CCG'!$D$5:$N$215,8,0)*$H827</f>
        <v>21.637469277550899</v>
      </c>
      <c r="P827" s="384">
        <f>VLOOKUP($A827,'8.Non-elective admissions - CCG'!$D$5:$N$215,9,0)*$H827</f>
        <v>20.80130563141098</v>
      </c>
      <c r="Q827" s="384">
        <f>VLOOKUP($A827,'8.Non-elective admissions - CCG'!$D$5:$N$215,10,0)*$H827</f>
        <v>21.938525337857694</v>
      </c>
      <c r="R827" s="384">
        <f>VLOOKUP($A827,'8.Non-elective admissions - CCG'!$D$5:$Q$215,11,0)*$H827</f>
        <v>21.194409155994183</v>
      </c>
      <c r="S827" s="384">
        <f>VLOOKUP($A827,'8.Non-elective admissions - CCG'!$D$5:$Q$215,12,0)*$H827</f>
        <v>21.192436030499991</v>
      </c>
      <c r="T827" s="384">
        <f>VLOOKUP($A827,'8.Non-elective admissions - CCG'!$D$5:$Q$215,13,0)*$H827</f>
        <v>20.3525222532942</v>
      </c>
      <c r="U827" s="384">
        <f>VLOOKUP($A827,'8.Non-elective admissions - CCG'!$D$5:$Q$215,14,0)*$H827</f>
        <v>21.508888567839254</v>
      </c>
    </row>
    <row r="828" spans="1:21">
      <c r="A828" s="395" t="s">
        <v>618</v>
      </c>
      <c r="B828" s="395" t="s">
        <v>617</v>
      </c>
      <c r="C828" s="395" t="s">
        <v>792</v>
      </c>
      <c r="D828" s="395" t="s">
        <v>492</v>
      </c>
      <c r="E828" s="537">
        <f>COUNTIF($D$5:D828,D828)</f>
        <v>4</v>
      </c>
      <c r="F828" s="537" t="str">
        <f t="shared" si="24"/>
        <v>Westminster4</v>
      </c>
      <c r="G828" s="541" t="str">
        <f t="shared" si="25"/>
        <v>NHS West London (K&amp;C &amp; QPP) CCG</v>
      </c>
      <c r="H828" s="546">
        <v>0.2514908266580953</v>
      </c>
      <c r="I828" s="546">
        <v>0.25421200008550116</v>
      </c>
      <c r="J828" s="384">
        <f>VLOOKUP($A828,'8.Non-elective admissions - CCG'!$D$5:$N$215,3,0)*$H828</f>
        <v>1131.9602107880869</v>
      </c>
      <c r="K828" s="384">
        <f>VLOOKUP($A828,'8.Non-elective admissions - CCG'!$D$5:$N$215,4,0)*$H828</f>
        <v>1142.2713346810688</v>
      </c>
      <c r="L828" s="384">
        <f>VLOOKUP($A828,'8.Non-elective admissions - CCG'!$D$5:$N$215,5,0)*$H828</f>
        <v>1130.1997750014802</v>
      </c>
      <c r="M828" s="384">
        <f>VLOOKUP($A828,'8.Non-elective admissions - CCG'!$D$5:$N$215,6,0)*$H828</f>
        <v>1110.3319996954908</v>
      </c>
      <c r="N828" s="384">
        <f>VLOOKUP($A828,'8.Non-elective admissions - CCG'!$D$5:$N$215,7,0)*$H828</f>
        <v>1278.8670762077124</v>
      </c>
      <c r="O828" s="384">
        <f>VLOOKUP($A828,'8.Non-elective admissions - CCG'!$D$5:$N$215,8,0)*$H828</f>
        <v>1278.9766134396486</v>
      </c>
      <c r="P828" s="384">
        <f>VLOOKUP($A828,'8.Non-elective admissions - CCG'!$D$5:$N$215,9,0)*$H828</f>
        <v>1229.5515288928652</v>
      </c>
      <c r="Q828" s="384">
        <f>VLOOKUP($A828,'8.Non-elective admissions - CCG'!$D$5:$N$215,10,0)*$H828</f>
        <v>1296.7718396524551</v>
      </c>
      <c r="R828" s="384">
        <f>VLOOKUP($A828,'8.Non-elective admissions - CCG'!$D$5:$Q$215,11,0)*$H828</f>
        <v>1252.7876203300577</v>
      </c>
      <c r="S828" s="384">
        <f>VLOOKUP($A828,'8.Non-elective admissions - CCG'!$D$5:$Q$215,12,0)*$H828</f>
        <v>1252.6709901765919</v>
      </c>
      <c r="T828" s="384">
        <f>VLOOKUP($A828,'8.Non-elective admissions - CCG'!$D$5:$Q$215,13,0)*$H828</f>
        <v>1203.0242378428293</v>
      </c>
      <c r="U828" s="384">
        <f>VLOOKUP($A828,'8.Non-elective admissions - CCG'!$D$5:$Q$215,14,0)*$H828</f>
        <v>1271.3762920457189</v>
      </c>
    </row>
    <row r="829" spans="1:21">
      <c r="A829" s="395" t="s">
        <v>620</v>
      </c>
      <c r="B829" s="395" t="s">
        <v>619</v>
      </c>
      <c r="C829" s="395" t="s">
        <v>670</v>
      </c>
      <c r="D829" s="395" t="s">
        <v>98</v>
      </c>
      <c r="E829" s="537">
        <f>COUNTIF($D$5:D829,D829)</f>
        <v>6</v>
      </c>
      <c r="F829" s="537" t="str">
        <f t="shared" si="24"/>
        <v>Cambridgeshire6</v>
      </c>
      <c r="G829" s="541" t="str">
        <f t="shared" si="25"/>
        <v>NHS West Norfolk CCG</v>
      </c>
      <c r="H829" s="546">
        <v>1.4203821278462479E-2</v>
      </c>
      <c r="I829" s="546">
        <v>3.5644789850458494E-3</v>
      </c>
      <c r="J829" s="384">
        <f>VLOOKUP($A829,'8.Non-elective admissions - CCG'!$D$5:$N$215,3,0)*$H829</f>
        <v>69.726558655972312</v>
      </c>
      <c r="K829" s="384">
        <f>VLOOKUP($A829,'8.Non-elective admissions - CCG'!$D$5:$N$215,4,0)*$H829</f>
        <v>69.41407458784613</v>
      </c>
      <c r="L829" s="384">
        <f>VLOOKUP($A829,'8.Non-elective admissions - CCG'!$D$5:$N$215,5,0)*$H829</f>
        <v>72.936622264904827</v>
      </c>
      <c r="M829" s="384">
        <f>VLOOKUP($A829,'8.Non-elective admissions - CCG'!$D$5:$N$215,6,0)*$H829</f>
        <v>76.984711329266631</v>
      </c>
      <c r="N829" s="384">
        <f>VLOOKUP($A829,'8.Non-elective admissions - CCG'!$D$5:$N$215,7,0)*$H829</f>
        <v>68.490826204746071</v>
      </c>
      <c r="O829" s="384">
        <f>VLOOKUP($A829,'8.Non-elective admissions - CCG'!$D$5:$N$215,8,0)*$H829</f>
        <v>68.547641489859927</v>
      </c>
      <c r="P829" s="384">
        <f>VLOOKUP($A829,'8.Non-elective admissions - CCG'!$D$5:$N$215,9,0)*$H829</f>
        <v>68.576049132416841</v>
      </c>
      <c r="Q829" s="384">
        <f>VLOOKUP($A829,'8.Non-elective admissions - CCG'!$D$5:$N$215,10,0)*$H829</f>
        <v>65.607450485218195</v>
      </c>
      <c r="R829" s="384">
        <f>VLOOKUP($A829,'8.Non-elective admissions - CCG'!$D$5:$Q$215,11,0)*$H829</f>
        <v>65.877323089508977</v>
      </c>
      <c r="S829" s="384">
        <f>VLOOKUP($A829,'8.Non-elective admissions - CCG'!$D$5:$Q$215,12,0)*$H829</f>
        <v>65.934138374622833</v>
      </c>
      <c r="T829" s="384">
        <f>VLOOKUP($A829,'8.Non-elective admissions - CCG'!$D$5:$Q$215,13,0)*$H829</f>
        <v>68.604456774973769</v>
      </c>
      <c r="U829" s="384">
        <f>VLOOKUP($A829,'8.Non-elective admissions - CCG'!$D$5:$Q$215,14,0)*$H829</f>
        <v>65.635858127775109</v>
      </c>
    </row>
    <row r="830" spans="1:21">
      <c r="A830" s="395" t="s">
        <v>620</v>
      </c>
      <c r="B830" s="395" t="s">
        <v>619</v>
      </c>
      <c r="C830" s="395" t="s">
        <v>733</v>
      </c>
      <c r="D830" s="395" t="s">
        <v>315</v>
      </c>
      <c r="E830" s="537">
        <f>COUNTIF($D$5:D830,D830)</f>
        <v>8</v>
      </c>
      <c r="F830" s="537" t="str">
        <f t="shared" si="24"/>
        <v>Norfolk8</v>
      </c>
      <c r="G830" s="541" t="str">
        <f t="shared" si="25"/>
        <v>NHS West Norfolk CCG</v>
      </c>
      <c r="H830" s="546">
        <v>0.98579617872153757</v>
      </c>
      <c r="I830" s="546">
        <v>0.18510322595726256</v>
      </c>
      <c r="J830" s="384">
        <f>VLOOKUP($A830,'8.Non-elective admissions - CCG'!$D$5:$N$215,3,0)*$H830</f>
        <v>4839.2734413440276</v>
      </c>
      <c r="K830" s="384">
        <f>VLOOKUP($A830,'8.Non-elective admissions - CCG'!$D$5:$N$215,4,0)*$H830</f>
        <v>4817.5859254121542</v>
      </c>
      <c r="L830" s="384">
        <f>VLOOKUP($A830,'8.Non-elective admissions - CCG'!$D$5:$N$215,5,0)*$H830</f>
        <v>5062.0633777350959</v>
      </c>
      <c r="M830" s="384">
        <f>VLOOKUP($A830,'8.Non-elective admissions - CCG'!$D$5:$N$215,6,0)*$H830</f>
        <v>5343.0152886707338</v>
      </c>
      <c r="N830" s="384">
        <f>VLOOKUP($A830,'8.Non-elective admissions - CCG'!$D$5:$N$215,7,0)*$H830</f>
        <v>4753.5091737952544</v>
      </c>
      <c r="O830" s="384">
        <f>VLOOKUP($A830,'8.Non-elective admissions - CCG'!$D$5:$N$215,8,0)*$H830</f>
        <v>4757.4523585101406</v>
      </c>
      <c r="P830" s="384">
        <f>VLOOKUP($A830,'8.Non-elective admissions - CCG'!$D$5:$N$215,9,0)*$H830</f>
        <v>4759.4239508675837</v>
      </c>
      <c r="Q830" s="384">
        <f>VLOOKUP($A830,'8.Non-elective admissions - CCG'!$D$5:$N$215,10,0)*$H830</f>
        <v>4553.3925495147823</v>
      </c>
      <c r="R830" s="384">
        <f>VLOOKUP($A830,'8.Non-elective admissions - CCG'!$D$5:$Q$215,11,0)*$H830</f>
        <v>4572.1226769104915</v>
      </c>
      <c r="S830" s="384">
        <f>VLOOKUP($A830,'8.Non-elective admissions - CCG'!$D$5:$Q$215,12,0)*$H830</f>
        <v>4576.0658616253777</v>
      </c>
      <c r="T830" s="384">
        <f>VLOOKUP($A830,'8.Non-elective admissions - CCG'!$D$5:$Q$215,13,0)*$H830</f>
        <v>4761.3955432250268</v>
      </c>
      <c r="U830" s="384">
        <f>VLOOKUP($A830,'8.Non-elective admissions - CCG'!$D$5:$Q$215,14,0)*$H830</f>
        <v>4555.3641418722254</v>
      </c>
    </row>
    <row r="831" spans="1:21">
      <c r="A831" s="395" t="s">
        <v>622</v>
      </c>
      <c r="B831" s="395" t="s">
        <v>621</v>
      </c>
      <c r="C831" s="395" t="s">
        <v>670</v>
      </c>
      <c r="D831" s="395" t="s">
        <v>98</v>
      </c>
      <c r="E831" s="537">
        <f>COUNTIF($D$5:D831,D831)</f>
        <v>7</v>
      </c>
      <c r="F831" s="537" t="str">
        <f t="shared" si="24"/>
        <v>Cambridgeshire7</v>
      </c>
      <c r="G831" s="541" t="str">
        <f t="shared" si="25"/>
        <v>NHS West Suffolk CCG</v>
      </c>
      <c r="H831" s="546">
        <v>4.0495426734676147E-2</v>
      </c>
      <c r="I831" s="546">
        <v>1.4562890143828807E-2</v>
      </c>
      <c r="J831" s="384">
        <f>VLOOKUP($A831,'8.Non-elective admissions - CCG'!$D$5:$N$215,3,0)*$H831</f>
        <v>215.31418394827307</v>
      </c>
      <c r="K831" s="384">
        <f>VLOOKUP($A831,'8.Non-elective admissions - CCG'!$D$5:$N$215,4,0)*$H831</f>
        <v>221.7124613723519</v>
      </c>
      <c r="L831" s="384">
        <f>VLOOKUP($A831,'8.Non-elective admissions - CCG'!$D$5:$N$215,5,0)*$H831</f>
        <v>233.37514427193864</v>
      </c>
      <c r="M831" s="384">
        <f>VLOOKUP($A831,'8.Non-elective admissions - CCG'!$D$5:$N$215,6,0)*$H831</f>
        <v>231.59334549561288</v>
      </c>
      <c r="N831" s="384">
        <f>VLOOKUP($A831,'8.Non-elective admissions - CCG'!$D$5:$N$215,7,0)*$H831</f>
        <v>199.03502240093326</v>
      </c>
      <c r="O831" s="384">
        <f>VLOOKUP($A831,'8.Non-elective admissions - CCG'!$D$5:$N$215,8,0)*$H831</f>
        <v>201.26227087134046</v>
      </c>
      <c r="P831" s="384">
        <f>VLOOKUP($A831,'8.Non-elective admissions - CCG'!$D$5:$N$215,9,0)*$H831</f>
        <v>201.26227087134046</v>
      </c>
      <c r="Q831" s="384">
        <f>VLOOKUP($A831,'8.Non-elective admissions - CCG'!$D$5:$N$215,10,0)*$H831</f>
        <v>196.92926021073009</v>
      </c>
      <c r="R831" s="384">
        <f>VLOOKUP($A831,'8.Non-elective admissions - CCG'!$D$5:$Q$215,11,0)*$H831</f>
        <v>185.83351328542884</v>
      </c>
      <c r="S831" s="384">
        <f>VLOOKUP($A831,'8.Non-elective admissions - CCG'!$D$5:$Q$215,12,0)*$H831</f>
        <v>187.85828462216264</v>
      </c>
      <c r="T831" s="384">
        <f>VLOOKUP($A831,'8.Non-elective admissions - CCG'!$D$5:$Q$215,13,0)*$H831</f>
        <v>187.85828462216264</v>
      </c>
      <c r="U831" s="384">
        <f>VLOOKUP($A831,'8.Non-elective admissions - CCG'!$D$5:$Q$215,14,0)*$H831</f>
        <v>183.76824652196035</v>
      </c>
    </row>
    <row r="832" spans="1:21">
      <c r="A832" s="395" t="s">
        <v>622</v>
      </c>
      <c r="B832" s="395" t="s">
        <v>621</v>
      </c>
      <c r="C832" s="395" t="s">
        <v>692</v>
      </c>
      <c r="D832" s="395" t="s">
        <v>180</v>
      </c>
      <c r="E832" s="537">
        <f>COUNTIF($D$5:D832,D832)</f>
        <v>14</v>
      </c>
      <c r="F832" s="537" t="str">
        <f t="shared" si="24"/>
        <v>Essex14</v>
      </c>
      <c r="G832" s="541" t="str">
        <f t="shared" si="25"/>
        <v>NHS West Suffolk CCG</v>
      </c>
      <c r="H832" s="546">
        <v>2.3513740480120466E-2</v>
      </c>
      <c r="I832" s="546">
        <v>3.8605108588753712E-3</v>
      </c>
      <c r="J832" s="384">
        <f>VLOOKUP($A832,'8.Non-elective admissions - CCG'!$D$5:$N$215,3,0)*$H832</f>
        <v>125.02255813280051</v>
      </c>
      <c r="K832" s="384">
        <f>VLOOKUP($A832,'8.Non-elective admissions - CCG'!$D$5:$N$215,4,0)*$H832</f>
        <v>128.73772912865954</v>
      </c>
      <c r="L832" s="384">
        <f>VLOOKUP($A832,'8.Non-elective admissions - CCG'!$D$5:$N$215,5,0)*$H832</f>
        <v>135.50968638693425</v>
      </c>
      <c r="M832" s="384">
        <f>VLOOKUP($A832,'8.Non-elective admissions - CCG'!$D$5:$N$215,6,0)*$H832</f>
        <v>134.47508180580894</v>
      </c>
      <c r="N832" s="384">
        <f>VLOOKUP($A832,'8.Non-elective admissions - CCG'!$D$5:$N$215,7,0)*$H832</f>
        <v>115.57003445979208</v>
      </c>
      <c r="O832" s="384">
        <f>VLOOKUP($A832,'8.Non-elective admissions - CCG'!$D$5:$N$215,8,0)*$H832</f>
        <v>116.86329018619871</v>
      </c>
      <c r="P832" s="384">
        <f>VLOOKUP($A832,'8.Non-elective admissions - CCG'!$D$5:$N$215,9,0)*$H832</f>
        <v>116.86329018619871</v>
      </c>
      <c r="Q832" s="384">
        <f>VLOOKUP($A832,'8.Non-elective admissions - CCG'!$D$5:$N$215,10,0)*$H832</f>
        <v>114.34731995482582</v>
      </c>
      <c r="R832" s="384">
        <f>VLOOKUP($A832,'8.Non-elective admissions - CCG'!$D$5:$Q$215,11,0)*$H832</f>
        <v>107.90455506327282</v>
      </c>
      <c r="S832" s="384">
        <f>VLOOKUP($A832,'8.Non-elective admissions - CCG'!$D$5:$Q$215,12,0)*$H832</f>
        <v>109.08024208727885</v>
      </c>
      <c r="T832" s="384">
        <f>VLOOKUP($A832,'8.Non-elective admissions - CCG'!$D$5:$Q$215,13,0)*$H832</f>
        <v>109.08024208727885</v>
      </c>
      <c r="U832" s="384">
        <f>VLOOKUP($A832,'8.Non-elective admissions - CCG'!$D$5:$Q$215,14,0)*$H832</f>
        <v>106.70535429878667</v>
      </c>
    </row>
    <row r="833" spans="1:21">
      <c r="A833" s="395" t="s">
        <v>622</v>
      </c>
      <c r="B833" s="395" t="s">
        <v>621</v>
      </c>
      <c r="C833" s="395" t="s">
        <v>733</v>
      </c>
      <c r="D833" s="395" t="s">
        <v>315</v>
      </c>
      <c r="E833" s="537">
        <f>COUNTIF($D$5:D833,D833)</f>
        <v>9</v>
      </c>
      <c r="F833" s="537" t="str">
        <f t="shared" si="24"/>
        <v>Norfolk9</v>
      </c>
      <c r="G833" s="541" t="str">
        <f t="shared" si="25"/>
        <v>NHS West Suffolk CCG</v>
      </c>
      <c r="H833" s="546">
        <v>2.6359879370043561E-2</v>
      </c>
      <c r="I833" s="546">
        <v>7.0928538273248515E-3</v>
      </c>
      <c r="J833" s="384">
        <f>VLOOKUP($A833,'8.Non-elective admissions - CCG'!$D$5:$N$215,3,0)*$H833</f>
        <v>140.15547861052161</v>
      </c>
      <c r="K833" s="384">
        <f>VLOOKUP($A833,'8.Non-elective admissions - CCG'!$D$5:$N$215,4,0)*$H833</f>
        <v>144.32033955098851</v>
      </c>
      <c r="L833" s="384">
        <f>VLOOKUP($A833,'8.Non-elective admissions - CCG'!$D$5:$N$215,5,0)*$H833</f>
        <v>151.91198480956103</v>
      </c>
      <c r="M833" s="384">
        <f>VLOOKUP($A833,'8.Non-elective admissions - CCG'!$D$5:$N$215,6,0)*$H833</f>
        <v>150.75215011727911</v>
      </c>
      <c r="N833" s="384">
        <f>VLOOKUP($A833,'8.Non-elective admissions - CCG'!$D$5:$N$215,7,0)*$H833</f>
        <v>129.55880710376411</v>
      </c>
      <c r="O833" s="384">
        <f>VLOOKUP($A833,'8.Non-elective admissions - CCG'!$D$5:$N$215,8,0)*$H833</f>
        <v>131.00860046911649</v>
      </c>
      <c r="P833" s="384">
        <f>VLOOKUP($A833,'8.Non-elective admissions - CCG'!$D$5:$N$215,9,0)*$H833</f>
        <v>131.00860046911649</v>
      </c>
      <c r="Q833" s="384">
        <f>VLOOKUP($A833,'8.Non-elective admissions - CCG'!$D$5:$N$215,10,0)*$H833</f>
        <v>128.18809337652183</v>
      </c>
      <c r="R833" s="384">
        <f>VLOOKUP($A833,'8.Non-elective admissions - CCG'!$D$5:$Q$215,11,0)*$H833</f>
        <v>120.9654864291299</v>
      </c>
      <c r="S833" s="384">
        <f>VLOOKUP($A833,'8.Non-elective admissions - CCG'!$D$5:$Q$215,12,0)*$H833</f>
        <v>122.28348039763208</v>
      </c>
      <c r="T833" s="384">
        <f>VLOOKUP($A833,'8.Non-elective admissions - CCG'!$D$5:$Q$215,13,0)*$H833</f>
        <v>122.28348039763208</v>
      </c>
      <c r="U833" s="384">
        <f>VLOOKUP($A833,'8.Non-elective admissions - CCG'!$D$5:$Q$215,14,0)*$H833</f>
        <v>119.62113258125768</v>
      </c>
    </row>
    <row r="834" spans="1:21">
      <c r="A834" s="395" t="s">
        <v>622</v>
      </c>
      <c r="B834" s="395" t="s">
        <v>621</v>
      </c>
      <c r="C834" s="395" t="s">
        <v>773</v>
      </c>
      <c r="D834" s="395" t="s">
        <v>435</v>
      </c>
      <c r="E834" s="537">
        <f>COUNTIF($D$5:D834,D834)</f>
        <v>6</v>
      </c>
      <c r="F834" s="537" t="str">
        <f t="shared" si="24"/>
        <v>Suffolk6</v>
      </c>
      <c r="G834" s="541" t="str">
        <f t="shared" si="25"/>
        <v>NHS West Suffolk CCG</v>
      </c>
      <c r="H834" s="546">
        <v>0.90963095341515987</v>
      </c>
      <c r="I834" s="546">
        <v>0.29493837957324431</v>
      </c>
      <c r="J834" s="384">
        <f>VLOOKUP($A834,'8.Non-elective admissions - CCG'!$D$5:$N$215,3,0)*$H834</f>
        <v>4836.5077793084047</v>
      </c>
      <c r="K834" s="384">
        <f>VLOOKUP($A834,'8.Non-elective admissions - CCG'!$D$5:$N$215,4,0)*$H834</f>
        <v>4980.2294699479999</v>
      </c>
      <c r="L834" s="384">
        <f>VLOOKUP($A834,'8.Non-elective admissions - CCG'!$D$5:$N$215,5,0)*$H834</f>
        <v>5242.203184531566</v>
      </c>
      <c r="M834" s="384">
        <f>VLOOKUP($A834,'8.Non-elective admissions - CCG'!$D$5:$N$215,6,0)*$H834</f>
        <v>5202.1794225812991</v>
      </c>
      <c r="N834" s="384">
        <f>VLOOKUP($A834,'8.Non-elective admissions - CCG'!$D$5:$N$215,7,0)*$H834</f>
        <v>4470.8361360355111</v>
      </c>
      <c r="O834" s="384">
        <f>VLOOKUP($A834,'8.Non-elective admissions - CCG'!$D$5:$N$215,8,0)*$H834</f>
        <v>4520.8658384733444</v>
      </c>
      <c r="P834" s="384">
        <f>VLOOKUP($A834,'8.Non-elective admissions - CCG'!$D$5:$N$215,9,0)*$H834</f>
        <v>4520.8658384733444</v>
      </c>
      <c r="Q834" s="384">
        <f>VLOOKUP($A834,'8.Non-elective admissions - CCG'!$D$5:$N$215,10,0)*$H834</f>
        <v>4423.5353264579226</v>
      </c>
      <c r="R834" s="384">
        <f>VLOOKUP($A834,'8.Non-elective admissions - CCG'!$D$5:$Q$215,11,0)*$H834</f>
        <v>4174.2964452221686</v>
      </c>
      <c r="S834" s="384">
        <f>VLOOKUP($A834,'8.Non-elective admissions - CCG'!$D$5:$Q$215,12,0)*$H834</f>
        <v>4219.7779928929267</v>
      </c>
      <c r="T834" s="384">
        <f>VLOOKUP($A834,'8.Non-elective admissions - CCG'!$D$5:$Q$215,13,0)*$H834</f>
        <v>4219.7779928929267</v>
      </c>
      <c r="U834" s="384">
        <f>VLOOKUP($A834,'8.Non-elective admissions - CCG'!$D$5:$Q$215,14,0)*$H834</f>
        <v>4127.9052665979953</v>
      </c>
    </row>
    <row r="835" spans="1:21">
      <c r="A835" s="395" t="s">
        <v>624</v>
      </c>
      <c r="B835" s="395" t="s">
        <v>623</v>
      </c>
      <c r="C835" s="395" t="s">
        <v>659</v>
      </c>
      <c r="D835" s="395" t="s">
        <v>56</v>
      </c>
      <c r="E835" s="537">
        <f>COUNTIF($D$5:D835,D835)</f>
        <v>5</v>
      </c>
      <c r="F835" s="537" t="str">
        <f t="shared" si="24"/>
        <v>Bolton5</v>
      </c>
      <c r="G835" s="541" t="str">
        <f t="shared" si="25"/>
        <v>NHS Wigan Borough CCG</v>
      </c>
      <c r="H835" s="546">
        <v>8.435525595741504E-3</v>
      </c>
      <c r="I835" s="546">
        <v>9.1119156853920521E-3</v>
      </c>
      <c r="J835" s="384">
        <f>VLOOKUP($A835,'8.Non-elective admissions - CCG'!$D$5:$N$215,3,0)*$H835</f>
        <v>70.225750584548024</v>
      </c>
      <c r="K835" s="384">
        <f>VLOOKUP($A835,'8.Non-elective admissions - CCG'!$D$5:$N$215,4,0)*$H835</f>
        <v>69.879894035122618</v>
      </c>
      <c r="L835" s="384">
        <f>VLOOKUP($A835,'8.Non-elective admissions - CCG'!$D$5:$N$215,5,0)*$H835</f>
        <v>70.099217700611902</v>
      </c>
      <c r="M835" s="384">
        <f>VLOOKUP($A835,'8.Non-elective admissions - CCG'!$D$5:$N$215,6,0)*$H835</f>
        <v>68.707355977314549</v>
      </c>
      <c r="N835" s="384">
        <f>VLOOKUP($A835,'8.Non-elective admissions - CCG'!$D$5:$N$215,7,0)*$H835</f>
        <v>67.315494254017196</v>
      </c>
      <c r="O835" s="384">
        <f>VLOOKUP($A835,'8.Non-elective admissions - CCG'!$D$5:$N$215,8,0)*$H835</f>
        <v>67.02025085816625</v>
      </c>
      <c r="P835" s="384">
        <f>VLOOKUP($A835,'8.Non-elective admissions - CCG'!$D$5:$N$215,9,0)*$H835</f>
        <v>67.188961370081074</v>
      </c>
      <c r="Q835" s="384">
        <f>VLOOKUP($A835,'8.Non-elective admissions - CCG'!$D$5:$N$215,10,0)*$H835</f>
        <v>65.805535172379479</v>
      </c>
      <c r="R835" s="384">
        <f>VLOOKUP($A835,'8.Non-elective admissions - CCG'!$D$5:$Q$215,11,0)*$H835</f>
        <v>66.20200487537933</v>
      </c>
      <c r="S835" s="384">
        <f>VLOOKUP($A835,'8.Non-elective admissions - CCG'!$D$5:$Q$215,12,0)*$H835</f>
        <v>65.915197005124114</v>
      </c>
      <c r="T835" s="384">
        <f>VLOOKUP($A835,'8.Non-elective admissions - CCG'!$D$5:$Q$215,13,0)*$H835</f>
        <v>66.067036465847465</v>
      </c>
      <c r="U835" s="384">
        <f>VLOOKUP($A835,'8.Non-elective admissions - CCG'!$D$5:$Q$215,14,0)*$H835</f>
        <v>64.708916844933071</v>
      </c>
    </row>
    <row r="836" spans="1:21">
      <c r="A836" s="395" t="s">
        <v>624</v>
      </c>
      <c r="B836" s="395" t="s">
        <v>623</v>
      </c>
      <c r="C836" s="395" t="s">
        <v>718</v>
      </c>
      <c r="D836" s="395" t="s">
        <v>270</v>
      </c>
      <c r="E836" s="537">
        <f>COUNTIF($D$5:D836,D836)</f>
        <v>17</v>
      </c>
      <c r="F836" s="537" t="str">
        <f t="shared" si="24"/>
        <v>Lancashire17</v>
      </c>
      <c r="G836" s="541" t="str">
        <f t="shared" si="25"/>
        <v>NHS Wigan Borough CCG</v>
      </c>
      <c r="H836" s="546">
        <v>7.5649221431769564E-3</v>
      </c>
      <c r="I836" s="546">
        <v>1.9839118043975491E-3</v>
      </c>
      <c r="J836" s="384">
        <f>VLOOKUP($A836,'8.Non-elective admissions - CCG'!$D$5:$N$215,3,0)*$H836</f>
        <v>62.977976841948163</v>
      </c>
      <c r="K836" s="384">
        <f>VLOOKUP($A836,'8.Non-elective admissions - CCG'!$D$5:$N$215,4,0)*$H836</f>
        <v>62.667815034077904</v>
      </c>
      <c r="L836" s="384">
        <f>VLOOKUP($A836,'8.Non-elective admissions - CCG'!$D$5:$N$215,5,0)*$H836</f>
        <v>62.864503009800508</v>
      </c>
      <c r="M836" s="384">
        <f>VLOOKUP($A836,'8.Non-elective admissions - CCG'!$D$5:$N$215,6,0)*$H836</f>
        <v>61.616290856176306</v>
      </c>
      <c r="N836" s="384">
        <f>VLOOKUP($A836,'8.Non-elective admissions - CCG'!$D$5:$N$215,7,0)*$H836</f>
        <v>60.368078702552111</v>
      </c>
      <c r="O836" s="384">
        <f>VLOOKUP($A836,'8.Non-elective admissions - CCG'!$D$5:$N$215,8,0)*$H836</f>
        <v>60.103306427540922</v>
      </c>
      <c r="P836" s="384">
        <f>VLOOKUP($A836,'8.Non-elective admissions - CCG'!$D$5:$N$215,9,0)*$H836</f>
        <v>60.254604870404457</v>
      </c>
      <c r="Q836" s="384">
        <f>VLOOKUP($A836,'8.Non-elective admissions - CCG'!$D$5:$N$215,10,0)*$H836</f>
        <v>59.013957638923436</v>
      </c>
      <c r="R836" s="384">
        <f>VLOOKUP($A836,'8.Non-elective admissions - CCG'!$D$5:$Q$215,11,0)*$H836</f>
        <v>59.369508979652757</v>
      </c>
      <c r="S836" s="384">
        <f>VLOOKUP($A836,'8.Non-elective admissions - CCG'!$D$5:$Q$215,12,0)*$H836</f>
        <v>59.112301626784735</v>
      </c>
      <c r="T836" s="384">
        <f>VLOOKUP($A836,'8.Non-elective admissions - CCG'!$D$5:$Q$215,13,0)*$H836</f>
        <v>59.24847022536192</v>
      </c>
      <c r="U836" s="384">
        <f>VLOOKUP($A836,'8.Non-elective admissions - CCG'!$D$5:$Q$215,14,0)*$H836</f>
        <v>58.030517760310431</v>
      </c>
    </row>
    <row r="837" spans="1:21">
      <c r="A837" s="395" t="s">
        <v>624</v>
      </c>
      <c r="B837" s="395" t="s">
        <v>623</v>
      </c>
      <c r="C837" s="395" t="s">
        <v>755</v>
      </c>
      <c r="D837" s="395" t="s">
        <v>381</v>
      </c>
      <c r="E837" s="537">
        <f>COUNTIF($D$5:D837,D837)</f>
        <v>7</v>
      </c>
      <c r="F837" s="537" t="str">
        <f t="shared" ref="F837:F870" si="26">D837&amp;E837</f>
        <v>Salford7</v>
      </c>
      <c r="G837" s="541" t="str">
        <f t="shared" ref="G837:G870" si="27">B837</f>
        <v>NHS Wigan Borough CCG</v>
      </c>
      <c r="H837" s="546">
        <v>9.3838614994278882E-3</v>
      </c>
      <c r="I837" s="546">
        <v>1.2027258598015383E-2</v>
      </c>
      <c r="J837" s="384">
        <f>VLOOKUP($A837,'8.Non-elective admissions - CCG'!$D$5:$N$215,3,0)*$H837</f>
        <v>78.120646982737171</v>
      </c>
      <c r="K837" s="384">
        <f>VLOOKUP($A837,'8.Non-elective admissions - CCG'!$D$5:$N$215,4,0)*$H837</f>
        <v>77.735908661260623</v>
      </c>
      <c r="L837" s="384">
        <f>VLOOKUP($A837,'8.Non-elective admissions - CCG'!$D$5:$N$215,5,0)*$H837</f>
        <v>77.979889060245753</v>
      </c>
      <c r="M837" s="384">
        <f>VLOOKUP($A837,'8.Non-elective admissions - CCG'!$D$5:$N$215,6,0)*$H837</f>
        <v>76.431551912840149</v>
      </c>
      <c r="N837" s="384">
        <f>VLOOKUP($A837,'8.Non-elective admissions - CCG'!$D$5:$N$215,7,0)*$H837</f>
        <v>74.883214765434545</v>
      </c>
      <c r="O837" s="384">
        <f>VLOOKUP($A837,'8.Non-elective admissions - CCG'!$D$5:$N$215,8,0)*$H837</f>
        <v>74.554779612954576</v>
      </c>
      <c r="P837" s="384">
        <f>VLOOKUP($A837,'8.Non-elective admissions - CCG'!$D$5:$N$215,9,0)*$H837</f>
        <v>74.742456842943128</v>
      </c>
      <c r="Q837" s="384">
        <f>VLOOKUP($A837,'8.Non-elective admissions - CCG'!$D$5:$N$215,10,0)*$H837</f>
        <v>73.203503557036953</v>
      </c>
      <c r="R837" s="384">
        <f>VLOOKUP($A837,'8.Non-elective admissions - CCG'!$D$5:$Q$215,11,0)*$H837</f>
        <v>73.644545047510064</v>
      </c>
      <c r="S837" s="384">
        <f>VLOOKUP($A837,'8.Non-elective admissions - CCG'!$D$5:$Q$215,12,0)*$H837</f>
        <v>73.325493756529525</v>
      </c>
      <c r="T837" s="384">
        <f>VLOOKUP($A837,'8.Non-elective admissions - CCG'!$D$5:$Q$215,13,0)*$H837</f>
        <v>73.494403263519217</v>
      </c>
      <c r="U837" s="384">
        <f>VLOOKUP($A837,'8.Non-elective admissions - CCG'!$D$5:$Q$215,14,0)*$H837</f>
        <v>71.983601562111332</v>
      </c>
    </row>
    <row r="838" spans="1:21">
      <c r="A838" s="395" t="s">
        <v>624</v>
      </c>
      <c r="B838" s="395" t="s">
        <v>623</v>
      </c>
      <c r="C838" s="395" t="s">
        <v>768</v>
      </c>
      <c r="D838" s="395" t="s">
        <v>420</v>
      </c>
      <c r="E838" s="537">
        <f>COUNTIF($D$5:D838,D838)</f>
        <v>4</v>
      </c>
      <c r="F838" s="537" t="str">
        <f t="shared" si="26"/>
        <v>St. Helens4</v>
      </c>
      <c r="G838" s="541" t="str">
        <f t="shared" si="27"/>
        <v>NHS Wigan Borough CCG</v>
      </c>
      <c r="H838" s="546">
        <v>6.3460773095865885E-3</v>
      </c>
      <c r="I838" s="546">
        <v>1.1133476252038772E-2</v>
      </c>
      <c r="J838" s="384">
        <f>VLOOKUP($A838,'8.Non-elective admissions - CCG'!$D$5:$N$215,3,0)*$H838</f>
        <v>52.83109360230835</v>
      </c>
      <c r="K838" s="384">
        <f>VLOOKUP($A838,'8.Non-elective admissions - CCG'!$D$5:$N$215,4,0)*$H838</f>
        <v>52.570904432615301</v>
      </c>
      <c r="L838" s="384">
        <f>VLOOKUP($A838,'8.Non-elective admissions - CCG'!$D$5:$N$215,5,0)*$H838</f>
        <v>52.735902442664553</v>
      </c>
      <c r="M838" s="384">
        <f>VLOOKUP($A838,'8.Non-elective admissions - CCG'!$D$5:$N$215,6,0)*$H838</f>
        <v>51.688799686582762</v>
      </c>
      <c r="N838" s="384">
        <f>VLOOKUP($A838,'8.Non-elective admissions - CCG'!$D$5:$N$215,7,0)*$H838</f>
        <v>50.641696930500977</v>
      </c>
      <c r="O838" s="384">
        <f>VLOOKUP($A838,'8.Non-elective admissions - CCG'!$D$5:$N$215,8,0)*$H838</f>
        <v>50.419584224665442</v>
      </c>
      <c r="P838" s="384">
        <f>VLOOKUP($A838,'8.Non-elective admissions - CCG'!$D$5:$N$215,9,0)*$H838</f>
        <v>50.546505770857181</v>
      </c>
      <c r="Q838" s="384">
        <f>VLOOKUP($A838,'8.Non-elective admissions - CCG'!$D$5:$N$215,10,0)*$H838</f>
        <v>49.505749092084976</v>
      </c>
      <c r="R838" s="384">
        <f>VLOOKUP($A838,'8.Non-elective admissions - CCG'!$D$5:$Q$215,11,0)*$H838</f>
        <v>49.804014725635547</v>
      </c>
      <c r="S838" s="384">
        <f>VLOOKUP($A838,'8.Non-elective admissions - CCG'!$D$5:$Q$215,12,0)*$H838</f>
        <v>49.588248097109599</v>
      </c>
      <c r="T838" s="384">
        <f>VLOOKUP($A838,'8.Non-elective admissions - CCG'!$D$5:$Q$215,13,0)*$H838</f>
        <v>49.702477488682163</v>
      </c>
      <c r="U838" s="384">
        <f>VLOOKUP($A838,'8.Non-elective admissions - CCG'!$D$5:$Q$215,14,0)*$H838</f>
        <v>48.680759041838719</v>
      </c>
    </row>
    <row r="839" spans="1:21">
      <c r="A839" s="395" t="s">
        <v>624</v>
      </c>
      <c r="B839" s="395" t="s">
        <v>623</v>
      </c>
      <c r="C839" s="395" t="s">
        <v>788</v>
      </c>
      <c r="D839" s="395" t="s">
        <v>480</v>
      </c>
      <c r="E839" s="537">
        <f>COUNTIF($D$5:D839,D839)</f>
        <v>5</v>
      </c>
      <c r="F839" s="537" t="str">
        <f t="shared" si="26"/>
        <v>Warrington5</v>
      </c>
      <c r="G839" s="541" t="str">
        <f t="shared" si="27"/>
        <v>NHS Wigan Borough CCG</v>
      </c>
      <c r="H839" s="546">
        <v>1.5484304263469479E-3</v>
      </c>
      <c r="I839" s="546">
        <v>2.3277554454519955E-3</v>
      </c>
      <c r="J839" s="384">
        <f>VLOOKUP($A839,'8.Non-elective admissions - CCG'!$D$5:$N$215,3,0)*$H839</f>
        <v>12.890683299338342</v>
      </c>
      <c r="K839" s="384">
        <f>VLOOKUP($A839,'8.Non-elective admissions - CCG'!$D$5:$N$215,4,0)*$H839</f>
        <v>12.827197651858116</v>
      </c>
      <c r="L839" s="384">
        <f>VLOOKUP($A839,'8.Non-elective admissions - CCG'!$D$5:$N$215,5,0)*$H839</f>
        <v>12.867456842943136</v>
      </c>
      <c r="M839" s="384">
        <f>VLOOKUP($A839,'8.Non-elective admissions - CCG'!$D$5:$N$215,6,0)*$H839</f>
        <v>12.611965822595891</v>
      </c>
      <c r="N839" s="384">
        <f>VLOOKUP($A839,'8.Non-elective admissions - CCG'!$D$5:$N$215,7,0)*$H839</f>
        <v>12.356474802248645</v>
      </c>
      <c r="O839" s="384">
        <f>VLOOKUP($A839,'8.Non-elective admissions - CCG'!$D$5:$N$215,8,0)*$H839</f>
        <v>12.302279737326501</v>
      </c>
      <c r="P839" s="384">
        <f>VLOOKUP($A839,'8.Non-elective admissions - CCG'!$D$5:$N$215,9,0)*$H839</f>
        <v>12.333248345853439</v>
      </c>
      <c r="Q839" s="384">
        <f>VLOOKUP($A839,'8.Non-elective admissions - CCG'!$D$5:$N$215,10,0)*$H839</f>
        <v>12.079305755932541</v>
      </c>
      <c r="R839" s="384">
        <f>VLOOKUP($A839,'8.Non-elective admissions - CCG'!$D$5:$Q$215,11,0)*$H839</f>
        <v>12.152081985970847</v>
      </c>
      <c r="S839" s="384">
        <f>VLOOKUP($A839,'8.Non-elective admissions - CCG'!$D$5:$Q$215,12,0)*$H839</f>
        <v>12.099435351475051</v>
      </c>
      <c r="T839" s="384">
        <f>VLOOKUP($A839,'8.Non-elective admissions - CCG'!$D$5:$Q$215,13,0)*$H839</f>
        <v>12.127307099149297</v>
      </c>
      <c r="U839" s="384">
        <f>VLOOKUP($A839,'8.Non-elective admissions - CCG'!$D$5:$Q$215,14,0)*$H839</f>
        <v>11.878009800507437</v>
      </c>
    </row>
    <row r="840" spans="1:21">
      <c r="A840" s="395" t="s">
        <v>624</v>
      </c>
      <c r="B840" s="395" t="s">
        <v>623</v>
      </c>
      <c r="C840" s="395" t="s">
        <v>793</v>
      </c>
      <c r="D840" s="395" t="s">
        <v>495</v>
      </c>
      <c r="E840" s="537">
        <f>COUNTIF($D$5:D840,D840)</f>
        <v>6</v>
      </c>
      <c r="F840" s="537" t="str">
        <f t="shared" si="26"/>
        <v>Wigan6</v>
      </c>
      <c r="G840" s="541" t="str">
        <f t="shared" si="27"/>
        <v>NHS Wigan Borough CCG</v>
      </c>
      <c r="H840" s="546">
        <v>0.96672118302572019</v>
      </c>
      <c r="I840" s="546">
        <v>0.95579369983368845</v>
      </c>
      <c r="J840" s="384">
        <f>VLOOKUP($A840,'8.Non-elective admissions - CCG'!$D$5:$N$215,3,0)*$H840</f>
        <v>8047.9538486891206</v>
      </c>
      <c r="K840" s="384">
        <f>VLOOKUP($A840,'8.Non-elective admissions - CCG'!$D$5:$N$215,4,0)*$H840</f>
        <v>8008.3182801850662</v>
      </c>
      <c r="L840" s="384">
        <f>VLOOKUP($A840,'8.Non-elective admissions - CCG'!$D$5:$N$215,5,0)*$H840</f>
        <v>8033.453030943735</v>
      </c>
      <c r="M840" s="384">
        <f>VLOOKUP($A840,'8.Non-elective admissions - CCG'!$D$5:$N$215,6,0)*$H840</f>
        <v>7873.944035744491</v>
      </c>
      <c r="N840" s="384">
        <f>VLOOKUP($A840,'8.Non-elective admissions - CCG'!$D$5:$N$215,7,0)*$H840</f>
        <v>7714.4350405452469</v>
      </c>
      <c r="O840" s="384">
        <f>VLOOKUP($A840,'8.Non-elective admissions - CCG'!$D$5:$N$215,8,0)*$H840</f>
        <v>7680.5997991393469</v>
      </c>
      <c r="P840" s="384">
        <f>VLOOKUP($A840,'8.Non-elective admissions - CCG'!$D$5:$N$215,9,0)*$H840</f>
        <v>7699.9342227998613</v>
      </c>
      <c r="Q840" s="384">
        <f>VLOOKUP($A840,'8.Non-elective admissions - CCG'!$D$5:$N$215,10,0)*$H840</f>
        <v>7541.3919487836429</v>
      </c>
      <c r="R840" s="384">
        <f>VLOOKUP($A840,'8.Non-elective admissions - CCG'!$D$5:$Q$215,11,0)*$H840</f>
        <v>7586.8278443858517</v>
      </c>
      <c r="S840" s="384">
        <f>VLOOKUP($A840,'8.Non-elective admissions - CCG'!$D$5:$Q$215,12,0)*$H840</f>
        <v>7553.9593241629773</v>
      </c>
      <c r="T840" s="384">
        <f>VLOOKUP($A840,'8.Non-elective admissions - CCG'!$D$5:$Q$215,13,0)*$H840</f>
        <v>7571.3603054574405</v>
      </c>
      <c r="U840" s="384">
        <f>VLOOKUP($A840,'8.Non-elective admissions - CCG'!$D$5:$Q$215,14,0)*$H840</f>
        <v>7415.7181949902997</v>
      </c>
    </row>
    <row r="841" spans="1:21">
      <c r="A841" s="395" t="s">
        <v>626</v>
      </c>
      <c r="B841" s="395" t="s">
        <v>625</v>
      </c>
      <c r="C841" s="395" t="s">
        <v>653</v>
      </c>
      <c r="D841" s="395" t="s">
        <v>29</v>
      </c>
      <c r="E841" s="537">
        <f>COUNTIF($D$5:D841,D841)</f>
        <v>4</v>
      </c>
      <c r="F841" s="537" t="str">
        <f t="shared" si="26"/>
        <v>Bath and North East Somerset4</v>
      </c>
      <c r="G841" s="541" t="str">
        <f t="shared" si="27"/>
        <v>NHS Wiltshire CCG</v>
      </c>
      <c r="H841" s="546">
        <v>1.1181598760010764E-3</v>
      </c>
      <c r="I841" s="546">
        <v>2.8055042318100212E-3</v>
      </c>
      <c r="J841" s="384">
        <f>VLOOKUP($A841,'8.Non-elective admissions - CCG'!$D$5:$N$215,3,0)*$H841</f>
        <v>10.624755141762229</v>
      </c>
      <c r="K841" s="384">
        <f>VLOOKUP($A841,'8.Non-elective admissions - CCG'!$D$5:$N$215,4,0)*$H841</f>
        <v>10.764525126262363</v>
      </c>
      <c r="L841" s="384">
        <f>VLOOKUP($A841,'8.Non-elective admissions - CCG'!$D$5:$N$215,5,0)*$H841</f>
        <v>11.159235562490743</v>
      </c>
      <c r="M841" s="384">
        <f>VLOOKUP($A841,'8.Non-elective admissions - CCG'!$D$5:$N$215,6,0)*$H841</f>
        <v>11.359386180294935</v>
      </c>
      <c r="N841" s="384">
        <f>VLOOKUP($A841,'8.Non-elective admissions - CCG'!$D$5:$N$215,7,0)*$H841</f>
        <v>10.342978853009956</v>
      </c>
      <c r="O841" s="384">
        <f>VLOOKUP($A841,'8.Non-elective admissions - CCG'!$D$5:$N$215,8,0)*$H841</f>
        <v>10.48051251775809</v>
      </c>
      <c r="P841" s="384">
        <f>VLOOKUP($A841,'8.Non-elective admissions - CCG'!$D$5:$N$215,9,0)*$H841</f>
        <v>10.864041355226458</v>
      </c>
      <c r="Q841" s="384">
        <f>VLOOKUP($A841,'8.Non-elective admissions - CCG'!$D$5:$N$215,10,0)*$H841</f>
        <v>10.919949349026513</v>
      </c>
      <c r="R841" s="384">
        <f>VLOOKUP($A841,'8.Non-elective admissions - CCG'!$D$5:$Q$215,11,0)*$H841</f>
        <v>10.133882956197755</v>
      </c>
      <c r="S841" s="384">
        <f>VLOOKUP($A841,'8.Non-elective admissions - CCG'!$D$5:$Q$215,12,0)*$H841</f>
        <v>10.268062141317886</v>
      </c>
      <c r="T841" s="384">
        <f>VLOOKUP($A841,'8.Non-elective admissions - CCG'!$D$5:$Q$215,13,0)*$H841</f>
        <v>10.642645699778246</v>
      </c>
      <c r="U841" s="384">
        <f>VLOOKUP($A841,'8.Non-elective admissions - CCG'!$D$5:$Q$215,14,0)*$H841</f>
        <v>10.695199213950296</v>
      </c>
    </row>
    <row r="842" spans="1:21">
      <c r="A842" s="395" t="s">
        <v>626</v>
      </c>
      <c r="B842" s="395" t="s">
        <v>625</v>
      </c>
      <c r="C842" s="395" t="s">
        <v>686</v>
      </c>
      <c r="D842" s="395" t="s">
        <v>158</v>
      </c>
      <c r="E842" s="537">
        <f>COUNTIF($D$5:D842,D842)</f>
        <v>4</v>
      </c>
      <c r="F842" s="537" t="str">
        <f t="shared" si="26"/>
        <v>Dorset4</v>
      </c>
      <c r="G842" s="541" t="str">
        <f t="shared" si="27"/>
        <v>NHS Wiltshire CCG</v>
      </c>
      <c r="H842" s="546">
        <v>7.7916551060895909E-3</v>
      </c>
      <c r="I842" s="546">
        <v>8.7091967718843366E-3</v>
      </c>
      <c r="J842" s="384">
        <f>VLOOKUP($A842,'8.Non-elective admissions - CCG'!$D$5:$N$215,3,0)*$H842</f>
        <v>74.036306818063295</v>
      </c>
      <c r="K842" s="384">
        <f>VLOOKUP($A842,'8.Non-elective admissions - CCG'!$D$5:$N$215,4,0)*$H842</f>
        <v>75.010263706324494</v>
      </c>
      <c r="L842" s="384">
        <f>VLOOKUP($A842,'8.Non-elective admissions - CCG'!$D$5:$N$215,5,0)*$H842</f>
        <v>77.760717958774123</v>
      </c>
      <c r="M842" s="384">
        <f>VLOOKUP($A842,'8.Non-elective admissions - CCG'!$D$5:$N$215,6,0)*$H842</f>
        <v>79.155424222764154</v>
      </c>
      <c r="N842" s="384">
        <f>VLOOKUP($A842,'8.Non-elective admissions - CCG'!$D$5:$N$215,7,0)*$H842</f>
        <v>72.072809731328718</v>
      </c>
      <c r="O842" s="384">
        <f>VLOOKUP($A842,'8.Non-elective admissions - CCG'!$D$5:$N$215,8,0)*$H842</f>
        <v>73.031183309377738</v>
      </c>
      <c r="P842" s="384">
        <f>VLOOKUP($A842,'8.Non-elective admissions - CCG'!$D$5:$N$215,9,0)*$H842</f>
        <v>75.703721010766458</v>
      </c>
      <c r="Q842" s="384">
        <f>VLOOKUP($A842,'8.Non-elective admissions - CCG'!$D$5:$N$215,10,0)*$H842</f>
        <v>76.093303766070946</v>
      </c>
      <c r="R842" s="384">
        <f>VLOOKUP($A842,'8.Non-elective admissions - CCG'!$D$5:$Q$215,11,0)*$H842</f>
        <v>70.615770226489957</v>
      </c>
      <c r="S842" s="384">
        <f>VLOOKUP($A842,'8.Non-elective admissions - CCG'!$D$5:$Q$215,12,0)*$H842</f>
        <v>71.550768839220709</v>
      </c>
      <c r="T842" s="384">
        <f>VLOOKUP($A842,'8.Non-elective admissions - CCG'!$D$5:$Q$215,13,0)*$H842</f>
        <v>74.160973299760727</v>
      </c>
      <c r="U842" s="384">
        <f>VLOOKUP($A842,'8.Non-elective admissions - CCG'!$D$5:$Q$215,14,0)*$H842</f>
        <v>74.527181089746932</v>
      </c>
    </row>
    <row r="843" spans="1:21">
      <c r="A843" s="395" t="s">
        <v>626</v>
      </c>
      <c r="B843" s="395" t="s">
        <v>625</v>
      </c>
      <c r="C843" s="395" t="s">
        <v>694</v>
      </c>
      <c r="D843" s="395" t="s">
        <v>188</v>
      </c>
      <c r="E843" s="537">
        <f>COUNTIF($D$5:D843,D843)</f>
        <v>7</v>
      </c>
      <c r="F843" s="537" t="str">
        <f t="shared" si="26"/>
        <v>Gloucestershire7</v>
      </c>
      <c r="G843" s="541" t="str">
        <f t="shared" si="27"/>
        <v>NHS Wiltshire CCG</v>
      </c>
      <c r="H843" s="546">
        <v>2.0089327622929789E-3</v>
      </c>
      <c r="I843" s="546">
        <v>1.5539100281252874E-3</v>
      </c>
      <c r="J843" s="384">
        <f>VLOOKUP($A843,'8.Non-elective admissions - CCG'!$D$5:$N$215,3,0)*$H843</f>
        <v>19.088879107307886</v>
      </c>
      <c r="K843" s="384">
        <f>VLOOKUP($A843,'8.Non-elective admissions - CCG'!$D$5:$N$215,4,0)*$H843</f>
        <v>19.339995702594507</v>
      </c>
      <c r="L843" s="384">
        <f>VLOOKUP($A843,'8.Non-elective admissions - CCG'!$D$5:$N$215,5,0)*$H843</f>
        <v>20.04914896768393</v>
      </c>
      <c r="M843" s="384">
        <f>VLOOKUP($A843,'8.Non-elective admissions - CCG'!$D$5:$N$215,6,0)*$H843</f>
        <v>20.408747932134371</v>
      </c>
      <c r="N843" s="384">
        <f>VLOOKUP($A843,'8.Non-elective admissions - CCG'!$D$5:$N$215,7,0)*$H843</f>
        <v>18.582628051210055</v>
      </c>
      <c r="O843" s="384">
        <f>VLOOKUP($A843,'8.Non-elective admissions - CCG'!$D$5:$N$215,8,0)*$H843</f>
        <v>18.829726780972091</v>
      </c>
      <c r="P843" s="384">
        <f>VLOOKUP($A843,'8.Non-elective admissions - CCG'!$D$5:$N$215,9,0)*$H843</f>
        <v>19.518790718438584</v>
      </c>
      <c r="Q843" s="384">
        <f>VLOOKUP($A843,'8.Non-elective admissions - CCG'!$D$5:$N$215,10,0)*$H843</f>
        <v>19.619237356553231</v>
      </c>
      <c r="R843" s="384">
        <f>VLOOKUP($A843,'8.Non-elective admissions - CCG'!$D$5:$Q$215,11,0)*$H843</f>
        <v>18.206957624661268</v>
      </c>
      <c r="S843" s="384">
        <f>VLOOKUP($A843,'8.Non-elective admissions - CCG'!$D$5:$Q$215,12,0)*$H843</f>
        <v>18.448029556136426</v>
      </c>
      <c r="T843" s="384">
        <f>VLOOKUP($A843,'8.Non-elective admissions - CCG'!$D$5:$Q$215,13,0)*$H843</f>
        <v>19.121022031504573</v>
      </c>
      <c r="U843" s="384">
        <f>VLOOKUP($A843,'8.Non-elective admissions - CCG'!$D$5:$Q$215,14,0)*$H843</f>
        <v>19.215441871332342</v>
      </c>
    </row>
    <row r="844" spans="1:21">
      <c r="A844" s="395" t="s">
        <v>626</v>
      </c>
      <c r="B844" s="395" t="s">
        <v>625</v>
      </c>
      <c r="C844" s="395" t="s">
        <v>699</v>
      </c>
      <c r="D844" s="395" t="s">
        <v>205</v>
      </c>
      <c r="E844" s="537">
        <f>COUNTIF($D$5:D844,D844)</f>
        <v>15</v>
      </c>
      <c r="F844" s="537" t="str">
        <f t="shared" si="26"/>
        <v>Hampshire15</v>
      </c>
      <c r="G844" s="541" t="str">
        <f t="shared" si="27"/>
        <v>NHS Wiltshire CCG</v>
      </c>
      <c r="H844" s="546">
        <v>1.3021555869400596E-2</v>
      </c>
      <c r="I844" s="546">
        <v>4.5973760634470309E-3</v>
      </c>
      <c r="J844" s="384">
        <f>VLOOKUP($A844,'8.Non-elective admissions - CCG'!$D$5:$N$215,3,0)*$H844</f>
        <v>123.73082387104446</v>
      </c>
      <c r="K844" s="384">
        <f>VLOOKUP($A844,'8.Non-elective admissions - CCG'!$D$5:$N$215,4,0)*$H844</f>
        <v>125.35851835471954</v>
      </c>
      <c r="L844" s="384">
        <f>VLOOKUP($A844,'8.Non-elective admissions - CCG'!$D$5:$N$215,5,0)*$H844</f>
        <v>129.95512757661794</v>
      </c>
      <c r="M844" s="384">
        <f>VLOOKUP($A844,'8.Non-elective admissions - CCG'!$D$5:$N$215,6,0)*$H844</f>
        <v>132.28598607724064</v>
      </c>
      <c r="N844" s="384">
        <f>VLOOKUP($A844,'8.Non-elective admissions - CCG'!$D$5:$N$215,7,0)*$H844</f>
        <v>120.44939179195551</v>
      </c>
      <c r="O844" s="384">
        <f>VLOOKUP($A844,'8.Non-elective admissions - CCG'!$D$5:$N$215,8,0)*$H844</f>
        <v>122.05104316389178</v>
      </c>
      <c r="P844" s="384">
        <f>VLOOKUP($A844,'8.Non-elective admissions - CCG'!$D$5:$N$215,9,0)*$H844</f>
        <v>126.51743682709619</v>
      </c>
      <c r="Q844" s="384">
        <f>VLOOKUP($A844,'8.Non-elective admissions - CCG'!$D$5:$N$215,10,0)*$H844</f>
        <v>127.16851462056621</v>
      </c>
      <c r="R844" s="384">
        <f>VLOOKUP($A844,'8.Non-elective admissions - CCG'!$D$5:$Q$215,11,0)*$H844</f>
        <v>118.01436084437759</v>
      </c>
      <c r="S844" s="384">
        <f>VLOOKUP($A844,'8.Non-elective admissions - CCG'!$D$5:$Q$215,12,0)*$H844</f>
        <v>119.57694754870568</v>
      </c>
      <c r="T844" s="384">
        <f>VLOOKUP($A844,'8.Non-elective admissions - CCG'!$D$5:$Q$215,13,0)*$H844</f>
        <v>123.93916876495487</v>
      </c>
      <c r="U844" s="384">
        <f>VLOOKUP($A844,'8.Non-elective admissions - CCG'!$D$5:$Q$215,14,0)*$H844</f>
        <v>124.55118189081669</v>
      </c>
    </row>
    <row r="845" spans="1:21">
      <c r="A845" s="395" t="s">
        <v>626</v>
      </c>
      <c r="B845" s="395" t="s">
        <v>625</v>
      </c>
      <c r="C845" s="395" t="s">
        <v>763</v>
      </c>
      <c r="D845" s="395" t="s">
        <v>405</v>
      </c>
      <c r="E845" s="537">
        <f>COUNTIF($D$5:D845,D845)</f>
        <v>5</v>
      </c>
      <c r="F845" s="537" t="str">
        <f t="shared" si="26"/>
        <v>South Gloucestershire5</v>
      </c>
      <c r="G845" s="541" t="str">
        <f t="shared" si="27"/>
        <v>NHS Wiltshire CCG</v>
      </c>
      <c r="H845" s="546">
        <v>0</v>
      </c>
      <c r="I845" s="546">
        <v>1.3376310589999854E-3</v>
      </c>
      <c r="J845" s="384">
        <f>VLOOKUP($A845,'8.Non-elective admissions - CCG'!$D$5:$N$215,3,0)*$H845</f>
        <v>0</v>
      </c>
      <c r="K845" s="384">
        <f>VLOOKUP($A845,'8.Non-elective admissions - CCG'!$D$5:$N$215,4,0)*$H845</f>
        <v>0</v>
      </c>
      <c r="L845" s="384">
        <f>VLOOKUP($A845,'8.Non-elective admissions - CCG'!$D$5:$N$215,5,0)*$H845</f>
        <v>0</v>
      </c>
      <c r="M845" s="384">
        <f>VLOOKUP($A845,'8.Non-elective admissions - CCG'!$D$5:$N$215,6,0)*$H845</f>
        <v>0</v>
      </c>
      <c r="N845" s="384">
        <f>VLOOKUP($A845,'8.Non-elective admissions - CCG'!$D$5:$N$215,7,0)*$H845</f>
        <v>0</v>
      </c>
      <c r="O845" s="384">
        <f>VLOOKUP($A845,'8.Non-elective admissions - CCG'!$D$5:$N$215,8,0)*$H845</f>
        <v>0</v>
      </c>
      <c r="P845" s="384">
        <f>VLOOKUP($A845,'8.Non-elective admissions - CCG'!$D$5:$N$215,9,0)*$H845</f>
        <v>0</v>
      </c>
      <c r="Q845" s="384">
        <f>VLOOKUP($A845,'8.Non-elective admissions - CCG'!$D$5:$N$215,10,0)*$H845</f>
        <v>0</v>
      </c>
      <c r="R845" s="384">
        <f>VLOOKUP($A845,'8.Non-elective admissions - CCG'!$D$5:$Q$215,11,0)*$H845</f>
        <v>0</v>
      </c>
      <c r="S845" s="384">
        <f>VLOOKUP($A845,'8.Non-elective admissions - CCG'!$D$5:$Q$215,12,0)*$H845</f>
        <v>0</v>
      </c>
      <c r="T845" s="384">
        <f>VLOOKUP($A845,'8.Non-elective admissions - CCG'!$D$5:$Q$215,13,0)*$H845</f>
        <v>0</v>
      </c>
      <c r="U845" s="384">
        <f>VLOOKUP($A845,'8.Non-elective admissions - CCG'!$D$5:$Q$215,14,0)*$H845</f>
        <v>0</v>
      </c>
    </row>
    <row r="846" spans="1:21">
      <c r="A846" s="395" t="s">
        <v>626</v>
      </c>
      <c r="B846" s="395" t="s">
        <v>625</v>
      </c>
      <c r="C846" s="395" t="s">
        <v>777</v>
      </c>
      <c r="D846" s="395" t="s">
        <v>447</v>
      </c>
      <c r="E846" s="537">
        <f>COUNTIF($D$5:D846,D846)</f>
        <v>3</v>
      </c>
      <c r="F846" s="537" t="str">
        <f t="shared" si="26"/>
        <v>Swindon3</v>
      </c>
      <c r="G846" s="541" t="str">
        <f t="shared" si="27"/>
        <v>NHS Wiltshire CCG</v>
      </c>
      <c r="H846" s="546">
        <v>6.4419360020360533E-3</v>
      </c>
      <c r="I846" s="546">
        <v>1.3834815528325977E-2</v>
      </c>
      <c r="J846" s="384">
        <f>VLOOKUP($A846,'8.Non-elective admissions - CCG'!$D$5:$N$215,3,0)*$H846</f>
        <v>61.211275891346581</v>
      </c>
      <c r="K846" s="384">
        <f>VLOOKUP($A846,'8.Non-elective admissions - CCG'!$D$5:$N$215,4,0)*$H846</f>
        <v>62.016517891601083</v>
      </c>
      <c r="L846" s="384">
        <f>VLOOKUP($A846,'8.Non-elective admissions - CCG'!$D$5:$N$215,5,0)*$H846</f>
        <v>64.29052130031981</v>
      </c>
      <c r="M846" s="384">
        <f>VLOOKUP($A846,'8.Non-elective admissions - CCG'!$D$5:$N$215,6,0)*$H846</f>
        <v>65.443627844684272</v>
      </c>
      <c r="N846" s="384">
        <f>VLOOKUP($A846,'8.Non-elective admissions - CCG'!$D$5:$N$215,7,0)*$H846</f>
        <v>59.587908018833495</v>
      </c>
      <c r="O846" s="384">
        <f>VLOOKUP($A846,'8.Non-elective admissions - CCG'!$D$5:$N$215,8,0)*$H846</f>
        <v>60.38026614708393</v>
      </c>
      <c r="P846" s="384">
        <f>VLOOKUP($A846,'8.Non-elective admissions - CCG'!$D$5:$N$215,9,0)*$H846</f>
        <v>62.589850195782297</v>
      </c>
      <c r="Q846" s="384">
        <f>VLOOKUP($A846,'8.Non-elective admissions - CCG'!$D$5:$N$215,10,0)*$H846</f>
        <v>62.911946995884094</v>
      </c>
      <c r="R846" s="384">
        <f>VLOOKUP($A846,'8.Non-elective admissions - CCG'!$D$5:$Q$215,11,0)*$H846</f>
        <v>58.383265986452749</v>
      </c>
      <c r="S846" s="384">
        <f>VLOOKUP($A846,'8.Non-elective admissions - CCG'!$D$5:$Q$215,12,0)*$H846</f>
        <v>59.156298306697074</v>
      </c>
      <c r="T846" s="384">
        <f>VLOOKUP($A846,'8.Non-elective admissions - CCG'!$D$5:$Q$215,13,0)*$H846</f>
        <v>61.314346867379157</v>
      </c>
      <c r="U846" s="384">
        <f>VLOOKUP($A846,'8.Non-elective admissions - CCG'!$D$5:$Q$215,14,0)*$H846</f>
        <v>61.617117859474853</v>
      </c>
    </row>
    <row r="847" spans="1:21">
      <c r="A847" s="395" t="s">
        <v>626</v>
      </c>
      <c r="B847" s="395" t="s">
        <v>625</v>
      </c>
      <c r="C847" s="395" t="s">
        <v>790</v>
      </c>
      <c r="D847" s="395" t="s">
        <v>486</v>
      </c>
      <c r="E847" s="537">
        <f>COUNTIF($D$5:D847,D847)</f>
        <v>6</v>
      </c>
      <c r="F847" s="537" t="str">
        <f t="shared" si="26"/>
        <v>West Berkshire6</v>
      </c>
      <c r="G847" s="541" t="str">
        <f t="shared" si="27"/>
        <v>NHS Wiltshire CCG</v>
      </c>
      <c r="H847" s="546">
        <v>1.3601496999117572E-3</v>
      </c>
      <c r="I847" s="546">
        <v>3.9929938880246931E-3</v>
      </c>
      <c r="J847" s="384">
        <f>VLOOKUP($A847,'8.Non-elective admissions - CCG'!$D$5:$N$215,3,0)*$H847</f>
        <v>12.924142448561517</v>
      </c>
      <c r="K847" s="384">
        <f>VLOOKUP($A847,'8.Non-elective admissions - CCG'!$D$5:$N$215,4,0)*$H847</f>
        <v>13.094161161050486</v>
      </c>
      <c r="L847" s="384">
        <f>VLOOKUP($A847,'8.Non-elective admissions - CCG'!$D$5:$N$215,5,0)*$H847</f>
        <v>13.574294005119336</v>
      </c>
      <c r="M847" s="384">
        <f>VLOOKUP($A847,'8.Non-elective admissions - CCG'!$D$5:$N$215,6,0)*$H847</f>
        <v>13.817760801403541</v>
      </c>
      <c r="N847" s="384">
        <f>VLOOKUP($A847,'8.Non-elective admissions - CCG'!$D$5:$N$215,7,0)*$H847</f>
        <v>12.581384724183755</v>
      </c>
      <c r="O847" s="384">
        <f>VLOOKUP($A847,'8.Non-elective admissions - CCG'!$D$5:$N$215,8,0)*$H847</f>
        <v>12.7486831372729</v>
      </c>
      <c r="P847" s="384">
        <f>VLOOKUP($A847,'8.Non-elective admissions - CCG'!$D$5:$N$215,9,0)*$H847</f>
        <v>13.215214484342633</v>
      </c>
      <c r="Q847" s="384">
        <f>VLOOKUP($A847,'8.Non-elective admissions - CCG'!$D$5:$N$215,10,0)*$H847</f>
        <v>13.283221969338221</v>
      </c>
      <c r="R847" s="384">
        <f>VLOOKUP($A847,'8.Non-elective admissions - CCG'!$D$5:$Q$215,11,0)*$H847</f>
        <v>12.327036730300255</v>
      </c>
      <c r="S847" s="384">
        <f>VLOOKUP($A847,'8.Non-elective admissions - CCG'!$D$5:$Q$215,12,0)*$H847</f>
        <v>12.490254694289666</v>
      </c>
      <c r="T847" s="384">
        <f>VLOOKUP($A847,'8.Non-elective admissions - CCG'!$D$5:$Q$215,13,0)*$H847</f>
        <v>12.945904843760104</v>
      </c>
      <c r="U847" s="384">
        <f>VLOOKUP($A847,'8.Non-elective admissions - CCG'!$D$5:$Q$215,14,0)*$H847</f>
        <v>13.009831879655957</v>
      </c>
    </row>
    <row r="848" spans="1:21">
      <c r="A848" s="395" t="s">
        <v>626</v>
      </c>
      <c r="B848" s="395" t="s">
        <v>625</v>
      </c>
      <c r="C848" s="395" t="s">
        <v>794</v>
      </c>
      <c r="D848" s="395" t="s">
        <v>498</v>
      </c>
      <c r="E848" s="537">
        <f>COUNTIF($D$5:D848,D848)</f>
        <v>9</v>
      </c>
      <c r="F848" s="537" t="str">
        <f t="shared" si="26"/>
        <v>Wiltshire9</v>
      </c>
      <c r="G848" s="541" t="str">
        <f t="shared" si="27"/>
        <v>NHS Wiltshire CCG</v>
      </c>
      <c r="H848" s="546">
        <v>0.96825761068426797</v>
      </c>
      <c r="I848" s="546">
        <v>0.97036084629536701</v>
      </c>
      <c r="J848" s="384">
        <f>VLOOKUP($A848,'8.Non-elective admissions - CCG'!$D$5:$N$215,3,0)*$H848</f>
        <v>9200.3838167219146</v>
      </c>
      <c r="K848" s="384">
        <f>VLOOKUP($A848,'8.Non-elective admissions - CCG'!$D$5:$N$215,4,0)*$H848</f>
        <v>9321.4160180574472</v>
      </c>
      <c r="L848" s="384">
        <f>VLOOKUP($A848,'8.Non-elective admissions - CCG'!$D$5:$N$215,5,0)*$H848</f>
        <v>9663.2109546289939</v>
      </c>
      <c r="M848" s="384">
        <f>VLOOKUP($A848,'8.Non-elective admissions - CCG'!$D$5:$N$215,6,0)*$H848</f>
        <v>9836.529066941479</v>
      </c>
      <c r="N848" s="384">
        <f>VLOOKUP($A848,'8.Non-elective admissions - CCG'!$D$5:$N$215,7,0)*$H848</f>
        <v>8956.382898829479</v>
      </c>
      <c r="O848" s="384">
        <f>VLOOKUP($A848,'8.Non-elective admissions - CCG'!$D$5:$N$215,8,0)*$H848</f>
        <v>9075.478584943643</v>
      </c>
      <c r="P848" s="384">
        <f>VLOOKUP($A848,'8.Non-elective admissions - CCG'!$D$5:$N$215,9,0)*$H848</f>
        <v>9407.5909454083467</v>
      </c>
      <c r="Q848" s="384">
        <f>VLOOKUP($A848,'8.Non-elective admissions - CCG'!$D$5:$N$215,10,0)*$H848</f>
        <v>9456.0038259425601</v>
      </c>
      <c r="R848" s="384">
        <f>VLOOKUP($A848,'8.Non-elective admissions - CCG'!$D$5:$Q$215,11,0)*$H848</f>
        <v>8775.3187256315214</v>
      </c>
      <c r="S848" s="384">
        <f>VLOOKUP($A848,'8.Non-elective admissions - CCG'!$D$5:$Q$215,12,0)*$H848</f>
        <v>8891.5096389136324</v>
      </c>
      <c r="T848" s="384">
        <f>VLOOKUP($A848,'8.Non-elective admissions - CCG'!$D$5:$Q$215,13,0)*$H848</f>
        <v>9215.8759384928617</v>
      </c>
      <c r="U848" s="384">
        <f>VLOOKUP($A848,'8.Non-elective admissions - CCG'!$D$5:$Q$215,14,0)*$H848</f>
        <v>9261.384046195024</v>
      </c>
    </row>
    <row r="849" spans="1:21">
      <c r="A849" s="395" t="s">
        <v>628</v>
      </c>
      <c r="B849" s="395" t="s">
        <v>627</v>
      </c>
      <c r="C849" s="395" t="s">
        <v>661</v>
      </c>
      <c r="D849" s="395" t="s">
        <v>64</v>
      </c>
      <c r="E849" s="537">
        <f>COUNTIF($D$5:D849,D849)</f>
        <v>4</v>
      </c>
      <c r="F849" s="537" t="str">
        <f t="shared" si="26"/>
        <v>Bracknell Forest4</v>
      </c>
      <c r="G849" s="541" t="str">
        <f t="shared" si="27"/>
        <v>NHS Windsor, Ascot and Maidenhead CCG</v>
      </c>
      <c r="H849" s="546">
        <v>1.6623849630906309E-2</v>
      </c>
      <c r="I849" s="546">
        <v>2.1403629238228424E-2</v>
      </c>
      <c r="J849" s="384">
        <f>VLOOKUP($A849,'8.Non-elective admissions - CCG'!$D$5:$N$215,3,0)*$H849</f>
        <v>48.508393222984608</v>
      </c>
      <c r="K849" s="384">
        <f>VLOOKUP($A849,'8.Non-elective admissions - CCG'!$D$5:$N$215,4,0)*$H849</f>
        <v>49.588943448993518</v>
      </c>
      <c r="L849" s="384">
        <f>VLOOKUP($A849,'8.Non-elective admissions - CCG'!$D$5:$N$215,5,0)*$H849</f>
        <v>53.196318818900188</v>
      </c>
      <c r="M849" s="384">
        <f>VLOOKUP($A849,'8.Non-elective admissions - CCG'!$D$5:$N$215,6,0)*$H849</f>
        <v>52.265383239569438</v>
      </c>
      <c r="N849" s="384">
        <f>VLOOKUP($A849,'8.Non-elective admissions - CCG'!$D$5:$N$215,7,0)*$H849</f>
        <v>44.98413710123247</v>
      </c>
      <c r="O849" s="384">
        <f>VLOOKUP($A849,'8.Non-elective admissions - CCG'!$D$5:$N$215,8,0)*$H849</f>
        <v>45.732210334623254</v>
      </c>
      <c r="P849" s="384">
        <f>VLOOKUP($A849,'8.Non-elective admissions - CCG'!$D$5:$N$215,9,0)*$H849</f>
        <v>49.090227960066329</v>
      </c>
      <c r="Q849" s="384">
        <f>VLOOKUP($A849,'8.Non-elective admissions - CCG'!$D$5:$N$215,10,0)*$H849</f>
        <v>46.646522064323101</v>
      </c>
      <c r="R849" s="384">
        <f>VLOOKUP($A849,'8.Non-elective admissions - CCG'!$D$5:$Q$215,11,0)*$H849</f>
        <v>45.665714936099633</v>
      </c>
      <c r="S849" s="384">
        <f>VLOOKUP($A849,'8.Non-elective admissions - CCG'!$D$5:$Q$215,12,0)*$H849</f>
        <v>46.480283568014038</v>
      </c>
      <c r="T849" s="384">
        <f>VLOOKUP($A849,'8.Non-elective admissions - CCG'!$D$5:$Q$215,13,0)*$H849</f>
        <v>49.871548892718927</v>
      </c>
      <c r="U849" s="384">
        <f>VLOOKUP($A849,'8.Non-elective admissions - CCG'!$D$5:$Q$215,14,0)*$H849</f>
        <v>47.394595297713892</v>
      </c>
    </row>
    <row r="850" spans="1:21">
      <c r="A850" s="395" t="s">
        <v>628</v>
      </c>
      <c r="B850" s="395" t="s">
        <v>627</v>
      </c>
      <c r="C850" s="395" t="s">
        <v>667</v>
      </c>
      <c r="D850" s="395" t="s">
        <v>86</v>
      </c>
      <c r="E850" s="537">
        <f>COUNTIF($D$5:D850,D850)</f>
        <v>10</v>
      </c>
      <c r="F850" s="537" t="str">
        <f t="shared" si="26"/>
        <v>Buckinghamshire10</v>
      </c>
      <c r="G850" s="541" t="str">
        <f t="shared" si="27"/>
        <v>NHS Windsor, Ascot and Maidenhead CCG</v>
      </c>
      <c r="H850" s="546">
        <v>2.6750349582127408E-2</v>
      </c>
      <c r="I850" s="546">
        <v>7.7272667494565749E-3</v>
      </c>
      <c r="J850" s="384">
        <f>VLOOKUP($A850,'8.Non-elective admissions - CCG'!$D$5:$N$215,3,0)*$H850</f>
        <v>78.057520080647777</v>
      </c>
      <c r="K850" s="384">
        <f>VLOOKUP($A850,'8.Non-elective admissions - CCG'!$D$5:$N$215,4,0)*$H850</f>
        <v>79.796292803486054</v>
      </c>
      <c r="L850" s="384">
        <f>VLOOKUP($A850,'8.Non-elective admissions - CCG'!$D$5:$N$215,5,0)*$H850</f>
        <v>85.601118662807707</v>
      </c>
      <c r="M850" s="384">
        <f>VLOOKUP($A850,'8.Non-elective admissions - CCG'!$D$5:$N$215,6,0)*$H850</f>
        <v>84.103099086208573</v>
      </c>
      <c r="N850" s="384">
        <f>VLOOKUP($A850,'8.Non-elective admissions - CCG'!$D$5:$N$215,7,0)*$H850</f>
        <v>72.38644596923676</v>
      </c>
      <c r="O850" s="384">
        <f>VLOOKUP($A850,'8.Non-elective admissions - CCG'!$D$5:$N$215,8,0)*$H850</f>
        <v>73.590211700432505</v>
      </c>
      <c r="P850" s="384">
        <f>VLOOKUP($A850,'8.Non-elective admissions - CCG'!$D$5:$N$215,9,0)*$H850</f>
        <v>78.993782316022234</v>
      </c>
      <c r="Q850" s="384">
        <f>VLOOKUP($A850,'8.Non-elective admissions - CCG'!$D$5:$N$215,10,0)*$H850</f>
        <v>75.061480927449509</v>
      </c>
      <c r="R850" s="384">
        <f>VLOOKUP($A850,'8.Non-elective admissions - CCG'!$D$5:$Q$215,11,0)*$H850</f>
        <v>73.483210302103984</v>
      </c>
      <c r="S850" s="384">
        <f>VLOOKUP($A850,'8.Non-elective admissions - CCG'!$D$5:$Q$215,12,0)*$H850</f>
        <v>74.793977431628235</v>
      </c>
      <c r="T850" s="384">
        <f>VLOOKUP($A850,'8.Non-elective admissions - CCG'!$D$5:$Q$215,13,0)*$H850</f>
        <v>80.251048746382224</v>
      </c>
      <c r="U850" s="384">
        <f>VLOOKUP($A850,'8.Non-elective admissions - CCG'!$D$5:$Q$215,14,0)*$H850</f>
        <v>76.265246658645239</v>
      </c>
    </row>
    <row r="851" spans="1:21">
      <c r="A851" s="395" t="s">
        <v>628</v>
      </c>
      <c r="B851" s="395" t="s">
        <v>627</v>
      </c>
      <c r="C851" s="395" t="s">
        <v>760</v>
      </c>
      <c r="D851" s="395" t="s">
        <v>396</v>
      </c>
      <c r="E851" s="537">
        <f>COUNTIF($D$5:D851,D851)</f>
        <v>3</v>
      </c>
      <c r="F851" s="537" t="str">
        <f t="shared" si="26"/>
        <v>Slough3</v>
      </c>
      <c r="G851" s="541" t="str">
        <f t="shared" si="27"/>
        <v>NHS Windsor, Ascot and Maidenhead CCG</v>
      </c>
      <c r="H851" s="546">
        <v>1.0906962375207309E-2</v>
      </c>
      <c r="I851" s="546">
        <v>1.0872524993192516E-2</v>
      </c>
      <c r="J851" s="384">
        <f>VLOOKUP($A851,'8.Non-elective admissions - CCG'!$D$5:$N$215,3,0)*$H851</f>
        <v>31.826516210854926</v>
      </c>
      <c r="K851" s="384">
        <f>VLOOKUP($A851,'8.Non-elective admissions - CCG'!$D$5:$N$215,4,0)*$H851</f>
        <v>32.535468765243401</v>
      </c>
      <c r="L851" s="384">
        <f>VLOOKUP($A851,'8.Non-elective admissions - CCG'!$D$5:$N$215,5,0)*$H851</f>
        <v>34.902279600663391</v>
      </c>
      <c r="M851" s="384">
        <f>VLOOKUP($A851,'8.Non-elective admissions - CCG'!$D$5:$N$215,6,0)*$H851</f>
        <v>34.291489707651778</v>
      </c>
      <c r="N851" s="384">
        <f>VLOOKUP($A851,'8.Non-elective admissions - CCG'!$D$5:$N$215,7,0)*$H851</f>
        <v>29.514240187310978</v>
      </c>
      <c r="O851" s="384">
        <f>VLOOKUP($A851,'8.Non-elective admissions - CCG'!$D$5:$N$215,8,0)*$H851</f>
        <v>30.005053494195305</v>
      </c>
      <c r="P851" s="384">
        <f>VLOOKUP($A851,'8.Non-elective admissions - CCG'!$D$5:$N$215,9,0)*$H851</f>
        <v>32.208259893987183</v>
      </c>
      <c r="Q851" s="384">
        <f>VLOOKUP($A851,'8.Non-elective admissions - CCG'!$D$5:$N$215,10,0)*$H851</f>
        <v>30.60493642483171</v>
      </c>
      <c r="R851" s="384">
        <f>VLOOKUP($A851,'8.Non-elective admissions - CCG'!$D$5:$Q$215,11,0)*$H851</f>
        <v>29.961425644694476</v>
      </c>
      <c r="S851" s="384">
        <f>VLOOKUP($A851,'8.Non-elective admissions - CCG'!$D$5:$Q$215,12,0)*$H851</f>
        <v>30.495866801079636</v>
      </c>
      <c r="T851" s="384">
        <f>VLOOKUP($A851,'8.Non-elective admissions - CCG'!$D$5:$Q$215,13,0)*$H851</f>
        <v>32.720887125621928</v>
      </c>
      <c r="U851" s="384">
        <f>VLOOKUP($A851,'8.Non-elective admissions - CCG'!$D$5:$Q$215,14,0)*$H851</f>
        <v>31.095749731716037</v>
      </c>
    </row>
    <row r="852" spans="1:21">
      <c r="A852" s="395" t="s">
        <v>628</v>
      </c>
      <c r="B852" s="395" t="s">
        <v>627</v>
      </c>
      <c r="C852" s="395" t="s">
        <v>775</v>
      </c>
      <c r="D852" s="395" t="s">
        <v>441</v>
      </c>
      <c r="E852" s="537">
        <f>COUNTIF($D$5:D852,D852)</f>
        <v>21</v>
      </c>
      <c r="F852" s="537" t="str">
        <f t="shared" si="26"/>
        <v>Surrey21</v>
      </c>
      <c r="G852" s="541" t="str">
        <f t="shared" si="27"/>
        <v>NHS Windsor, Ascot and Maidenhead CCG</v>
      </c>
      <c r="H852" s="546">
        <v>7.7968196156222552E-2</v>
      </c>
      <c r="I852" s="546">
        <v>9.8856242836055982E-3</v>
      </c>
      <c r="J852" s="384">
        <f>VLOOKUP($A852,'8.Non-elective admissions - CCG'!$D$5:$N$215,3,0)*$H852</f>
        <v>227.5111963838574</v>
      </c>
      <c r="K852" s="384">
        <f>VLOOKUP($A852,'8.Non-elective admissions - CCG'!$D$5:$N$215,4,0)*$H852</f>
        <v>232.57912913401188</v>
      </c>
      <c r="L852" s="384">
        <f>VLOOKUP($A852,'8.Non-elective admissions - CCG'!$D$5:$N$215,5,0)*$H852</f>
        <v>249.49822769991218</v>
      </c>
      <c r="M852" s="384">
        <f>VLOOKUP($A852,'8.Non-elective admissions - CCG'!$D$5:$N$215,6,0)*$H852</f>
        <v>245.13200871516369</v>
      </c>
      <c r="N852" s="384">
        <f>VLOOKUP($A852,'8.Non-elective admissions - CCG'!$D$5:$N$215,7,0)*$H852</f>
        <v>210.98193879873821</v>
      </c>
      <c r="O852" s="384">
        <f>VLOOKUP($A852,'8.Non-elective admissions - CCG'!$D$5:$N$215,8,0)*$H852</f>
        <v>214.49050762576823</v>
      </c>
      <c r="P852" s="384">
        <f>VLOOKUP($A852,'8.Non-elective admissions - CCG'!$D$5:$N$215,9,0)*$H852</f>
        <v>230.24008324932521</v>
      </c>
      <c r="Q852" s="384">
        <f>VLOOKUP($A852,'8.Non-elective admissions - CCG'!$D$5:$N$215,10,0)*$H852</f>
        <v>218.77875841436048</v>
      </c>
      <c r="R852" s="384">
        <f>VLOOKUP($A852,'8.Non-elective admissions - CCG'!$D$5:$Q$215,11,0)*$H852</f>
        <v>214.17863484114335</v>
      </c>
      <c r="S852" s="384">
        <f>VLOOKUP($A852,'8.Non-elective admissions - CCG'!$D$5:$Q$215,12,0)*$H852</f>
        <v>217.99907645279825</v>
      </c>
      <c r="T852" s="384">
        <f>VLOOKUP($A852,'8.Non-elective admissions - CCG'!$D$5:$Q$215,13,0)*$H852</f>
        <v>233.90458846866767</v>
      </c>
      <c r="U852" s="384">
        <f>VLOOKUP($A852,'8.Non-elective admissions - CCG'!$D$5:$Q$215,14,0)*$H852</f>
        <v>222.2873272413905</v>
      </c>
    </row>
    <row r="853" spans="1:21">
      <c r="A853" s="395" t="s">
        <v>628</v>
      </c>
      <c r="B853" s="395" t="s">
        <v>627</v>
      </c>
      <c r="C853" s="395" t="s">
        <v>795</v>
      </c>
      <c r="D853" s="395" t="s">
        <v>501</v>
      </c>
      <c r="E853" s="537">
        <f>COUNTIF($D$5:D853,D853)</f>
        <v>6</v>
      </c>
      <c r="F853" s="537" t="str">
        <f t="shared" si="26"/>
        <v>Windsor and Maidenhead6</v>
      </c>
      <c r="G853" s="541" t="str">
        <f t="shared" si="27"/>
        <v>NHS Windsor, Ascot and Maidenhead CCG</v>
      </c>
      <c r="H853" s="546">
        <v>0.86775064225553633</v>
      </c>
      <c r="I853" s="546">
        <v>0.85643217983528797</v>
      </c>
      <c r="J853" s="384">
        <f>VLOOKUP($A853,'8.Non-elective admissions - CCG'!$D$5:$N$215,3,0)*$H853</f>
        <v>2532.0963741016549</v>
      </c>
      <c r="K853" s="384">
        <f>VLOOKUP($A853,'8.Non-elective admissions - CCG'!$D$5:$N$215,4,0)*$H853</f>
        <v>2588.5001658482647</v>
      </c>
      <c r="L853" s="384">
        <f>VLOOKUP($A853,'8.Non-elective admissions - CCG'!$D$5:$N$215,5,0)*$H853</f>
        <v>2776.8020552177163</v>
      </c>
      <c r="M853" s="384">
        <f>VLOOKUP($A853,'8.Non-elective admissions - CCG'!$D$5:$N$215,6,0)*$H853</f>
        <v>2728.2080192514063</v>
      </c>
      <c r="N853" s="384">
        <f>VLOOKUP($A853,'8.Non-elective admissions - CCG'!$D$5:$N$215,7,0)*$H853</f>
        <v>2348.1332379434812</v>
      </c>
      <c r="O853" s="384">
        <f>VLOOKUP($A853,'8.Non-elective admissions - CCG'!$D$5:$N$215,8,0)*$H853</f>
        <v>2387.1820168449804</v>
      </c>
      <c r="P853" s="384">
        <f>VLOOKUP($A853,'8.Non-elective admissions - CCG'!$D$5:$N$215,9,0)*$H853</f>
        <v>2562.4676465805987</v>
      </c>
      <c r="Q853" s="384">
        <f>VLOOKUP($A853,'8.Non-elective admissions - CCG'!$D$5:$N$215,10,0)*$H853</f>
        <v>2434.9083021690349</v>
      </c>
      <c r="R853" s="384">
        <f>VLOOKUP($A853,'8.Non-elective admissions - CCG'!$D$5:$Q$215,11,0)*$H853</f>
        <v>2383.7110142759584</v>
      </c>
      <c r="S853" s="384">
        <f>VLOOKUP($A853,'8.Non-elective admissions - CCG'!$D$5:$Q$215,12,0)*$H853</f>
        <v>2426.2307957464795</v>
      </c>
      <c r="T853" s="384">
        <f>VLOOKUP($A853,'8.Non-elective admissions - CCG'!$D$5:$Q$215,13,0)*$H853</f>
        <v>2603.2519267666089</v>
      </c>
      <c r="U853" s="384">
        <f>VLOOKUP($A853,'8.Non-elective admissions - CCG'!$D$5:$Q$215,14,0)*$H853</f>
        <v>2473.9570810705341</v>
      </c>
    </row>
    <row r="854" spans="1:21">
      <c r="A854" s="395" t="s">
        <v>630</v>
      </c>
      <c r="B854" s="395" t="s">
        <v>629</v>
      </c>
      <c r="C854" s="395" t="s">
        <v>674</v>
      </c>
      <c r="D854" s="395" t="s">
        <v>114</v>
      </c>
      <c r="E854" s="537">
        <f>COUNTIF($D$5:D854,D854)</f>
        <v>7</v>
      </c>
      <c r="F854" s="537" t="str">
        <f t="shared" si="26"/>
        <v>Cheshire West and Chester7</v>
      </c>
      <c r="G854" s="541" t="str">
        <f t="shared" si="27"/>
        <v>NHS Wirral CCG</v>
      </c>
      <c r="H854" s="546">
        <v>2.2932953421758951E-3</v>
      </c>
      <c r="I854" s="546">
        <v>2.1854198412061912E-3</v>
      </c>
      <c r="J854" s="384">
        <f>VLOOKUP($A854,'8.Non-elective admissions - CCG'!$D$5:$N$215,3,0)*$H854</f>
        <v>26.177966330937842</v>
      </c>
      <c r="K854" s="384">
        <f>VLOOKUP($A854,'8.Non-elective admissions - CCG'!$D$5:$N$215,4,0)*$H854</f>
        <v>25.499150909653778</v>
      </c>
      <c r="L854" s="384">
        <f>VLOOKUP($A854,'8.Non-elective admissions - CCG'!$D$5:$N$215,5,0)*$H854</f>
        <v>27.714474210195693</v>
      </c>
      <c r="M854" s="384">
        <f>VLOOKUP($A854,'8.Non-elective admissions - CCG'!$D$5:$N$215,6,0)*$H854</f>
        <v>26.730650508402235</v>
      </c>
      <c r="N854" s="384">
        <f>VLOOKUP($A854,'8.Non-elective admissions - CCG'!$D$5:$N$215,7,0)*$H854</f>
        <v>25.421178868019798</v>
      </c>
      <c r="O854" s="384">
        <f>VLOOKUP($A854,'8.Non-elective admissions - CCG'!$D$5:$N$215,8,0)*$H854</f>
        <v>25.696374309080905</v>
      </c>
      <c r="P854" s="384">
        <f>VLOOKUP($A854,'8.Non-elective admissions - CCG'!$D$5:$N$215,9,0)*$H854</f>
        <v>25.6872011277122</v>
      </c>
      <c r="Q854" s="384">
        <f>VLOOKUP($A854,'8.Non-elective admissions - CCG'!$D$5:$N$215,10,0)*$H854</f>
        <v>25.116170587510403</v>
      </c>
      <c r="R854" s="384">
        <f>VLOOKUP($A854,'8.Non-elective admissions - CCG'!$D$5:$Q$215,11,0)*$H854</f>
        <v>23.217322044188762</v>
      </c>
      <c r="S854" s="384">
        <f>VLOOKUP($A854,'8.Non-elective admissions - CCG'!$D$5:$Q$215,12,0)*$H854</f>
        <v>23.464997941143761</v>
      </c>
      <c r="T854" s="384">
        <f>VLOOKUP($A854,'8.Non-elective admissions - CCG'!$D$5:$Q$215,13,0)*$H854</f>
        <v>23.462704645801583</v>
      </c>
      <c r="U854" s="384">
        <f>VLOOKUP($A854,'8.Non-elective admissions - CCG'!$D$5:$Q$215,14,0)*$H854</f>
        <v>23.198975681451355</v>
      </c>
    </row>
    <row r="855" spans="1:21">
      <c r="A855" s="395" t="s">
        <v>630</v>
      </c>
      <c r="B855" s="395" t="s">
        <v>629</v>
      </c>
      <c r="C855" s="395" t="s">
        <v>796</v>
      </c>
      <c r="D855" s="395" t="s">
        <v>504</v>
      </c>
      <c r="E855" s="537">
        <f>COUNTIF($D$5:D855,D855)</f>
        <v>2</v>
      </c>
      <c r="F855" s="537" t="str">
        <f t="shared" si="26"/>
        <v>Wirral2</v>
      </c>
      <c r="G855" s="541" t="str">
        <f t="shared" si="27"/>
        <v>NHS Wirral CCG</v>
      </c>
      <c r="H855" s="546">
        <v>0.99770670465782407</v>
      </c>
      <c r="I855" s="546">
        <v>0.99717920603211307</v>
      </c>
      <c r="J855" s="384">
        <f>VLOOKUP($A855,'8.Non-elective admissions - CCG'!$D$5:$N$215,3,0)*$H855</f>
        <v>11388.822033669061</v>
      </c>
      <c r="K855" s="384">
        <f>VLOOKUP($A855,'8.Non-elective admissions - CCG'!$D$5:$N$215,4,0)*$H855</f>
        <v>11093.500849090346</v>
      </c>
      <c r="L855" s="384">
        <f>VLOOKUP($A855,'8.Non-elective admissions - CCG'!$D$5:$N$215,5,0)*$H855</f>
        <v>12057.285525789805</v>
      </c>
      <c r="M855" s="384">
        <f>VLOOKUP($A855,'8.Non-elective admissions - CCG'!$D$5:$N$215,6,0)*$H855</f>
        <v>11629.269349491597</v>
      </c>
      <c r="N855" s="384">
        <f>VLOOKUP($A855,'8.Non-elective admissions - CCG'!$D$5:$N$215,7,0)*$H855</f>
        <v>11059.57882113198</v>
      </c>
      <c r="O855" s="384">
        <f>VLOOKUP($A855,'8.Non-elective admissions - CCG'!$D$5:$N$215,8,0)*$H855</f>
        <v>11179.303625690918</v>
      </c>
      <c r="P855" s="384">
        <f>VLOOKUP($A855,'8.Non-elective admissions - CCG'!$D$5:$N$215,9,0)*$H855</f>
        <v>11175.312798872288</v>
      </c>
      <c r="Q855" s="384">
        <f>VLOOKUP($A855,'8.Non-elective admissions - CCG'!$D$5:$N$215,10,0)*$H855</f>
        <v>10926.883829412489</v>
      </c>
      <c r="R855" s="384">
        <f>VLOOKUP($A855,'8.Non-elective admissions - CCG'!$D$5:$Q$215,11,0)*$H855</f>
        <v>10100.782677955811</v>
      </c>
      <c r="S855" s="384">
        <f>VLOOKUP($A855,'8.Non-elective admissions - CCG'!$D$5:$Q$215,12,0)*$H855</f>
        <v>10208.535002058856</v>
      </c>
      <c r="T855" s="384">
        <f>VLOOKUP($A855,'8.Non-elective admissions - CCG'!$D$5:$Q$215,13,0)*$H855</f>
        <v>10207.537295354197</v>
      </c>
      <c r="U855" s="384">
        <f>VLOOKUP($A855,'8.Non-elective admissions - CCG'!$D$5:$Q$215,14,0)*$H855</f>
        <v>10092.801024318549</v>
      </c>
    </row>
    <row r="856" spans="1:21">
      <c r="A856" s="395" t="s">
        <v>632</v>
      </c>
      <c r="B856" s="395" t="s">
        <v>631</v>
      </c>
      <c r="C856" s="395" t="s">
        <v>661</v>
      </c>
      <c r="D856" s="395" t="s">
        <v>64</v>
      </c>
      <c r="E856" s="537">
        <f>COUNTIF($D$5:D856,D856)</f>
        <v>5</v>
      </c>
      <c r="F856" s="537" t="str">
        <f t="shared" si="26"/>
        <v>Bracknell Forest5</v>
      </c>
      <c r="G856" s="541" t="str">
        <f t="shared" si="27"/>
        <v>NHS Wokingham CCG</v>
      </c>
      <c r="H856" s="546">
        <v>1.2840785688429959E-2</v>
      </c>
      <c r="I856" s="546">
        <v>1.693197899831685E-2</v>
      </c>
      <c r="J856" s="384">
        <f>VLOOKUP($A856,'8.Non-elective admissions - CCG'!$D$5:$N$215,3,0)*$H856</f>
        <v>28.480862656937649</v>
      </c>
      <c r="K856" s="384">
        <f>VLOOKUP($A856,'8.Non-elective admissions - CCG'!$D$5:$N$215,4,0)*$H856</f>
        <v>28.622111299510379</v>
      </c>
      <c r="L856" s="384">
        <f>VLOOKUP($A856,'8.Non-elective admissions - CCG'!$D$5:$N$215,5,0)*$H856</f>
        <v>30.676637009659174</v>
      </c>
      <c r="M856" s="384">
        <f>VLOOKUP($A856,'8.Non-elective admissions - CCG'!$D$5:$N$215,6,0)*$H856</f>
        <v>30.150164796433543</v>
      </c>
      <c r="N856" s="384">
        <f>VLOOKUP($A856,'8.Non-elective admissions - CCG'!$D$5:$N$215,7,0)*$H856</f>
        <v>29.135742727047578</v>
      </c>
      <c r="O856" s="384">
        <f>VLOOKUP($A856,'8.Non-elective admissions - CCG'!$D$5:$N$215,8,0)*$H856</f>
        <v>28.288250871611201</v>
      </c>
      <c r="P856" s="384">
        <f>VLOOKUP($A856,'8.Non-elective admissions - CCG'!$D$5:$N$215,9,0)*$H856</f>
        <v>29.572329440454197</v>
      </c>
      <c r="Q856" s="384">
        <f>VLOOKUP($A856,'8.Non-elective admissions - CCG'!$D$5:$N$215,10,0)*$H856</f>
        <v>27.620530015812843</v>
      </c>
      <c r="R856" s="384">
        <f>VLOOKUP($A856,'8.Non-elective admissions - CCG'!$D$5:$Q$215,11,0)*$H856</f>
        <v>28.532225799691368</v>
      </c>
      <c r="S856" s="384">
        <f>VLOOKUP($A856,'8.Non-elective admissions - CCG'!$D$5:$Q$215,12,0)*$H856</f>
        <v>28.26256930023434</v>
      </c>
      <c r="T856" s="384">
        <f>VLOOKUP($A856,'8.Non-elective admissions - CCG'!$D$5:$Q$215,13,0)*$H856</f>
        <v>29.508125512012047</v>
      </c>
      <c r="U856" s="384">
        <f>VLOOKUP($A856,'8.Non-elective admissions - CCG'!$D$5:$Q$215,14,0)*$H856</f>
        <v>28.159843014726899</v>
      </c>
    </row>
    <row r="857" spans="1:21">
      <c r="A857" s="395" t="s">
        <v>632</v>
      </c>
      <c r="B857" s="395" t="s">
        <v>631</v>
      </c>
      <c r="C857" s="395" t="s">
        <v>699</v>
      </c>
      <c r="D857" s="395" t="s">
        <v>205</v>
      </c>
      <c r="E857" s="537">
        <f>COUNTIF($D$5:D857,D857)</f>
        <v>16</v>
      </c>
      <c r="F857" s="537" t="str">
        <f t="shared" si="26"/>
        <v>Hampshire16</v>
      </c>
      <c r="G857" s="541" t="str">
        <f t="shared" si="27"/>
        <v>NHS Wokingham CCG</v>
      </c>
      <c r="H857" s="546">
        <v>5.9123498891831307E-3</v>
      </c>
      <c r="I857" s="546">
        <v>0</v>
      </c>
      <c r="J857" s="384">
        <f>VLOOKUP($A857,'8.Non-elective admissions - CCG'!$D$5:$N$215,3,0)*$H857</f>
        <v>13.113592054208183</v>
      </c>
      <c r="K857" s="384">
        <f>VLOOKUP($A857,'8.Non-elective admissions - CCG'!$D$5:$N$215,4,0)*$H857</f>
        <v>13.178627902989199</v>
      </c>
      <c r="L857" s="384">
        <f>VLOOKUP($A857,'8.Non-elective admissions - CCG'!$D$5:$N$215,5,0)*$H857</f>
        <v>14.1246038852585</v>
      </c>
      <c r="M857" s="384">
        <f>VLOOKUP($A857,'8.Non-elective admissions - CCG'!$D$5:$N$215,6,0)*$H857</f>
        <v>13.882197539801991</v>
      </c>
      <c r="N857" s="384">
        <f>VLOOKUP($A857,'8.Non-elective admissions - CCG'!$D$5:$N$215,7,0)*$H857</f>
        <v>13.415121898556524</v>
      </c>
      <c r="O857" s="384">
        <f>VLOOKUP($A857,'8.Non-elective admissions - CCG'!$D$5:$N$215,8,0)*$H857</f>
        <v>13.024906805870437</v>
      </c>
      <c r="P857" s="384">
        <f>VLOOKUP($A857,'8.Non-elective admissions - CCG'!$D$5:$N$215,9,0)*$H857</f>
        <v>13.616141794788749</v>
      </c>
      <c r="Q857" s="384">
        <f>VLOOKUP($A857,'8.Non-elective admissions - CCG'!$D$5:$N$215,10,0)*$H857</f>
        <v>12.717464611632915</v>
      </c>
      <c r="R857" s="384">
        <f>VLOOKUP($A857,'8.Non-elective admissions - CCG'!$D$5:$Q$215,11,0)*$H857</f>
        <v>13.137241453764917</v>
      </c>
      <c r="S857" s="384">
        <f>VLOOKUP($A857,'8.Non-elective admissions - CCG'!$D$5:$Q$215,12,0)*$H857</f>
        <v>13.013082106092071</v>
      </c>
      <c r="T857" s="384">
        <f>VLOOKUP($A857,'8.Non-elective admissions - CCG'!$D$5:$Q$215,13,0)*$H857</f>
        <v>13.586580045342835</v>
      </c>
      <c r="U857" s="384">
        <f>VLOOKUP($A857,'8.Non-elective admissions - CCG'!$D$5:$Q$215,14,0)*$H857</f>
        <v>12.965783306978606</v>
      </c>
    </row>
    <row r="858" spans="1:21">
      <c r="A858" s="395" t="s">
        <v>632</v>
      </c>
      <c r="B858" s="395" t="s">
        <v>631</v>
      </c>
      <c r="C858" s="395" t="s">
        <v>748</v>
      </c>
      <c r="D858" s="395" t="s">
        <v>360</v>
      </c>
      <c r="E858" s="537">
        <f>COUNTIF($D$5:D858,D858)</f>
        <v>4</v>
      </c>
      <c r="F858" s="537" t="str">
        <f t="shared" si="26"/>
        <v>Reading4</v>
      </c>
      <c r="G858" s="541" t="str">
        <f t="shared" si="27"/>
        <v>NHS Wokingham CCG</v>
      </c>
      <c r="H858" s="546">
        <v>3.1225590123644956E-2</v>
      </c>
      <c r="I858" s="546">
        <v>2.7401306257105278E-2</v>
      </c>
      <c r="J858" s="384">
        <f>VLOOKUP($A858,'8.Non-elective admissions - CCG'!$D$5:$N$215,3,0)*$H858</f>
        <v>69.258358894244509</v>
      </c>
      <c r="K858" s="384">
        <f>VLOOKUP($A858,'8.Non-elective admissions - CCG'!$D$5:$N$215,4,0)*$H858</f>
        <v>69.601840385604604</v>
      </c>
      <c r="L858" s="384">
        <f>VLOOKUP($A858,'8.Non-elective admissions - CCG'!$D$5:$N$215,5,0)*$H858</f>
        <v>74.597934805387794</v>
      </c>
      <c r="M858" s="384">
        <f>VLOOKUP($A858,'8.Non-elective admissions - CCG'!$D$5:$N$215,6,0)*$H858</f>
        <v>73.317685610318364</v>
      </c>
      <c r="N858" s="384">
        <f>VLOOKUP($A858,'8.Non-elective admissions - CCG'!$D$5:$N$215,7,0)*$H858</f>
        <v>70.850863990550408</v>
      </c>
      <c r="O858" s="384">
        <f>VLOOKUP($A858,'8.Non-elective admissions - CCG'!$D$5:$N$215,8,0)*$H858</f>
        <v>68.789975042389841</v>
      </c>
      <c r="P858" s="384">
        <f>VLOOKUP($A858,'8.Non-elective admissions - CCG'!$D$5:$N$215,9,0)*$H858</f>
        <v>71.912534054754332</v>
      </c>
      <c r="Q858" s="384">
        <f>VLOOKUP($A858,'8.Non-elective admissions - CCG'!$D$5:$N$215,10,0)*$H858</f>
        <v>67.166244355960302</v>
      </c>
      <c r="R858" s="384">
        <f>VLOOKUP($A858,'8.Non-elective admissions - CCG'!$D$5:$Q$215,11,0)*$H858</f>
        <v>69.383261254739097</v>
      </c>
      <c r="S858" s="384">
        <f>VLOOKUP($A858,'8.Non-elective admissions - CCG'!$D$5:$Q$215,12,0)*$H858</f>
        <v>68.727523862142547</v>
      </c>
      <c r="T858" s="384">
        <f>VLOOKUP($A858,'8.Non-elective admissions - CCG'!$D$5:$Q$215,13,0)*$H858</f>
        <v>71.756406104136104</v>
      </c>
      <c r="U858" s="384">
        <f>VLOOKUP($A858,'8.Non-elective admissions - CCG'!$D$5:$Q$215,14,0)*$H858</f>
        <v>68.477719141153386</v>
      </c>
    </row>
    <row r="859" spans="1:21">
      <c r="A859" s="395" t="s">
        <v>632</v>
      </c>
      <c r="B859" s="395" t="s">
        <v>631</v>
      </c>
      <c r="C859" s="395" t="s">
        <v>790</v>
      </c>
      <c r="D859" s="395" t="s">
        <v>486</v>
      </c>
      <c r="E859" s="537">
        <f>COUNTIF($D$5:D859,D859)</f>
        <v>7</v>
      </c>
      <c r="F859" s="537" t="str">
        <f t="shared" si="26"/>
        <v>West Berkshire7</v>
      </c>
      <c r="G859" s="541" t="str">
        <f t="shared" si="27"/>
        <v>NHS Wokingham CCG</v>
      </c>
      <c r="H859" s="546">
        <v>1.4161697371512763E-3</v>
      </c>
      <c r="I859" s="546">
        <v>1.3657018972845192E-3</v>
      </c>
      <c r="J859" s="384">
        <f>VLOOKUP($A859,'8.Non-elective admissions - CCG'!$D$5:$N$215,3,0)*$H859</f>
        <v>3.1410644770015308</v>
      </c>
      <c r="K859" s="384">
        <f>VLOOKUP($A859,'8.Non-elective admissions - CCG'!$D$5:$N$215,4,0)*$H859</f>
        <v>3.1566423441101947</v>
      </c>
      <c r="L859" s="384">
        <f>VLOOKUP($A859,'8.Non-elective admissions - CCG'!$D$5:$N$215,5,0)*$H859</f>
        <v>3.383229502054399</v>
      </c>
      <c r="M859" s="384">
        <f>VLOOKUP($A859,'8.Non-elective admissions - CCG'!$D$5:$N$215,6,0)*$H859</f>
        <v>3.3251665428311967</v>
      </c>
      <c r="N859" s="384">
        <f>VLOOKUP($A859,'8.Non-elective admissions - CCG'!$D$5:$N$215,7,0)*$H859</f>
        <v>3.2132891335962461</v>
      </c>
      <c r="O859" s="384">
        <f>VLOOKUP($A859,'8.Non-elective admissions - CCG'!$D$5:$N$215,8,0)*$H859</f>
        <v>3.1198219309442616</v>
      </c>
      <c r="P859" s="384">
        <f>VLOOKUP($A859,'8.Non-elective admissions - CCG'!$D$5:$N$215,9,0)*$H859</f>
        <v>3.2614389046593892</v>
      </c>
      <c r="Q859" s="384">
        <f>VLOOKUP($A859,'8.Non-elective admissions - CCG'!$D$5:$N$215,10,0)*$H859</f>
        <v>3.0461811046123954</v>
      </c>
      <c r="R859" s="384">
        <f>VLOOKUP($A859,'8.Non-elective admissions - CCG'!$D$5:$Q$215,11,0)*$H859</f>
        <v>3.146729155950136</v>
      </c>
      <c r="S859" s="384">
        <f>VLOOKUP($A859,'8.Non-elective admissions - CCG'!$D$5:$Q$215,12,0)*$H859</f>
        <v>3.116989591469959</v>
      </c>
      <c r="T859" s="384">
        <f>VLOOKUP($A859,'8.Non-elective admissions - CCG'!$D$5:$Q$215,13,0)*$H859</f>
        <v>3.2543580559736331</v>
      </c>
      <c r="U859" s="384">
        <f>VLOOKUP($A859,'8.Non-elective admissions - CCG'!$D$5:$Q$215,14,0)*$H859</f>
        <v>3.105660233572749</v>
      </c>
    </row>
    <row r="860" spans="1:21">
      <c r="A860" s="395" t="s">
        <v>632</v>
      </c>
      <c r="B860" s="395" t="s">
        <v>631</v>
      </c>
      <c r="C860" s="395" t="s">
        <v>795</v>
      </c>
      <c r="D860" s="395" t="s">
        <v>501</v>
      </c>
      <c r="E860" s="537">
        <f>COUNTIF($D$5:D860,D860)</f>
        <v>7</v>
      </c>
      <c r="F860" s="537" t="str">
        <f t="shared" si="26"/>
        <v>Windsor and Maidenhead7</v>
      </c>
      <c r="G860" s="541" t="str">
        <f t="shared" si="27"/>
        <v>NHS Wokingham CCG</v>
      </c>
      <c r="H860" s="546">
        <v>1.27010738757962E-2</v>
      </c>
      <c r="I860" s="546">
        <v>1.2838041685121353E-2</v>
      </c>
      <c r="J860" s="384">
        <f>VLOOKUP($A860,'8.Non-elective admissions - CCG'!$D$5:$N$215,3,0)*$H860</f>
        <v>28.170981856515972</v>
      </c>
      <c r="K860" s="384">
        <f>VLOOKUP($A860,'8.Non-elective admissions - CCG'!$D$5:$N$215,4,0)*$H860</f>
        <v>28.310693669149728</v>
      </c>
      <c r="L860" s="384">
        <f>VLOOKUP($A860,'8.Non-elective admissions - CCG'!$D$5:$N$215,5,0)*$H860</f>
        <v>30.34286548927712</v>
      </c>
      <c r="M860" s="384">
        <f>VLOOKUP($A860,'8.Non-elective admissions - CCG'!$D$5:$N$215,6,0)*$H860</f>
        <v>29.822121460369477</v>
      </c>
      <c r="N860" s="384">
        <f>VLOOKUP($A860,'8.Non-elective admissions - CCG'!$D$5:$N$215,7,0)*$H860</f>
        <v>28.818736624181579</v>
      </c>
      <c r="O860" s="384">
        <f>VLOOKUP($A860,'8.Non-elective admissions - CCG'!$D$5:$N$215,8,0)*$H860</f>
        <v>27.980465748379029</v>
      </c>
      <c r="P860" s="384">
        <f>VLOOKUP($A860,'8.Non-elective admissions - CCG'!$D$5:$N$215,9,0)*$H860</f>
        <v>29.250573135958646</v>
      </c>
      <c r="Q860" s="384">
        <f>VLOOKUP($A860,'8.Non-elective admissions - CCG'!$D$5:$N$215,10,0)*$H860</f>
        <v>27.320009906837626</v>
      </c>
      <c r="R860" s="384">
        <f>VLOOKUP($A860,'8.Non-elective admissions - CCG'!$D$5:$Q$215,11,0)*$H860</f>
        <v>28.221786152019156</v>
      </c>
      <c r="S860" s="384">
        <f>VLOOKUP($A860,'8.Non-elective admissions - CCG'!$D$5:$Q$215,12,0)*$H860</f>
        <v>27.955063600627437</v>
      </c>
      <c r="T860" s="384">
        <f>VLOOKUP($A860,'8.Non-elective admissions - CCG'!$D$5:$Q$215,13,0)*$H860</f>
        <v>29.187067766579666</v>
      </c>
      <c r="U860" s="384">
        <f>VLOOKUP($A860,'8.Non-elective admissions - CCG'!$D$5:$Q$215,14,0)*$H860</f>
        <v>27.853455009621065</v>
      </c>
    </row>
    <row r="861" spans="1:21">
      <c r="A861" s="395" t="s">
        <v>632</v>
      </c>
      <c r="B861" s="395" t="s">
        <v>631</v>
      </c>
      <c r="C861" s="395" t="s">
        <v>797</v>
      </c>
      <c r="D861" s="395" t="s">
        <v>507</v>
      </c>
      <c r="E861" s="537">
        <f>COUNTIF($D$5:D861,D861)</f>
        <v>5</v>
      </c>
      <c r="F861" s="537" t="str">
        <f t="shared" si="26"/>
        <v>Wokingham5</v>
      </c>
      <c r="G861" s="541" t="str">
        <f t="shared" si="27"/>
        <v>NHS Wokingham CCG</v>
      </c>
      <c r="H861" s="546">
        <v>0.93590403068579453</v>
      </c>
      <c r="I861" s="546">
        <v>0.88273804888859608</v>
      </c>
      <c r="J861" s="384">
        <f>VLOOKUP($A861,'8.Non-elective admissions - CCG'!$D$5:$N$215,3,0)*$H861</f>
        <v>2075.8351400610923</v>
      </c>
      <c r="K861" s="384">
        <f>VLOOKUP($A861,'8.Non-elective admissions - CCG'!$D$5:$N$215,4,0)*$H861</f>
        <v>2086.130084398636</v>
      </c>
      <c r="L861" s="384">
        <f>VLOOKUP($A861,'8.Non-elective admissions - CCG'!$D$5:$N$215,5,0)*$H861</f>
        <v>2235.8747293083629</v>
      </c>
      <c r="M861" s="384">
        <f>VLOOKUP($A861,'8.Non-elective admissions - CCG'!$D$5:$N$215,6,0)*$H861</f>
        <v>2197.5026640502456</v>
      </c>
      <c r="N861" s="384">
        <f>VLOOKUP($A861,'8.Non-elective admissions - CCG'!$D$5:$N$215,7,0)*$H861</f>
        <v>2123.5662456260679</v>
      </c>
      <c r="O861" s="384">
        <f>VLOOKUP($A861,'8.Non-elective admissions - CCG'!$D$5:$N$215,8,0)*$H861</f>
        <v>2061.7965796008052</v>
      </c>
      <c r="P861" s="384">
        <f>VLOOKUP($A861,'8.Non-elective admissions - CCG'!$D$5:$N$215,9,0)*$H861</f>
        <v>2155.3869826693849</v>
      </c>
      <c r="Q861" s="384">
        <f>VLOOKUP($A861,'8.Non-elective admissions - CCG'!$D$5:$N$215,10,0)*$H861</f>
        <v>2013.1295700051439</v>
      </c>
      <c r="R861" s="384">
        <f>VLOOKUP($A861,'8.Non-elective admissions - CCG'!$D$5:$Q$215,11,0)*$H861</f>
        <v>2079.5787561838356</v>
      </c>
      <c r="S861" s="384">
        <f>VLOOKUP($A861,'8.Non-elective admissions - CCG'!$D$5:$Q$215,12,0)*$H861</f>
        <v>2059.9247715394336</v>
      </c>
      <c r="T861" s="384">
        <f>VLOOKUP($A861,'8.Non-elective admissions - CCG'!$D$5:$Q$215,13,0)*$H861</f>
        <v>2150.7074625159557</v>
      </c>
      <c r="U861" s="384">
        <f>VLOOKUP($A861,'8.Non-elective admissions - CCG'!$D$5:$Q$215,14,0)*$H861</f>
        <v>2052.4375392939473</v>
      </c>
    </row>
    <row r="862" spans="1:21">
      <c r="A862" s="395" t="s">
        <v>634</v>
      </c>
      <c r="B862" s="395" t="s">
        <v>633</v>
      </c>
      <c r="C862" s="395" t="s">
        <v>687</v>
      </c>
      <c r="D862" s="395" t="s">
        <v>162</v>
      </c>
      <c r="E862" s="537">
        <f>COUNTIF($D$5:D862,D862)</f>
        <v>4</v>
      </c>
      <c r="F862" s="537" t="str">
        <f t="shared" si="26"/>
        <v>Dudley4</v>
      </c>
      <c r="G862" s="541" t="str">
        <f t="shared" si="27"/>
        <v>NHS Wolverhampton CCG</v>
      </c>
      <c r="H862" s="546">
        <v>1.7728432815667657E-2</v>
      </c>
      <c r="I862" s="546">
        <v>1.4527399779330636E-2</v>
      </c>
      <c r="J862" s="384">
        <f>VLOOKUP($A862,'8.Non-elective admissions - CCG'!$D$5:$N$215,3,0)*$H862</f>
        <v>129.34664582311123</v>
      </c>
      <c r="K862" s="384">
        <f>VLOOKUP($A862,'8.Non-elective admissions - CCG'!$D$5:$N$215,4,0)*$H862</f>
        <v>122.27300112965983</v>
      </c>
      <c r="L862" s="384">
        <f>VLOOKUP($A862,'8.Non-elective admissions - CCG'!$D$5:$N$215,5,0)*$H862</f>
        <v>128.38931045106517</v>
      </c>
      <c r="M862" s="384">
        <f>VLOOKUP($A862,'8.Non-elective admissions - CCG'!$D$5:$N$215,6,0)*$H862</f>
        <v>124.55996896288096</v>
      </c>
      <c r="N862" s="384">
        <f>VLOOKUP($A862,'8.Non-elective admissions - CCG'!$D$5:$N$215,7,0)*$H862</f>
        <v>136.91668663540131</v>
      </c>
      <c r="O862" s="384">
        <f>VLOOKUP($A862,'8.Non-elective admissions - CCG'!$D$5:$N$215,8,0)*$H862</f>
        <v>130.19761059826328</v>
      </c>
      <c r="P862" s="384">
        <f>VLOOKUP($A862,'8.Non-elective admissions - CCG'!$D$5:$N$215,9,0)*$H862</f>
        <v>135.99480812898659</v>
      </c>
      <c r="Q862" s="384">
        <f>VLOOKUP($A862,'8.Non-elective admissions - CCG'!$D$5:$N$215,10,0)*$H862</f>
        <v>141.98701842068226</v>
      </c>
      <c r="R862" s="384">
        <f>VLOOKUP($A862,'8.Non-elective admissions - CCG'!$D$5:$Q$215,11,0)*$H862</f>
        <v>134.45243447402351</v>
      </c>
      <c r="S862" s="384">
        <f>VLOOKUP($A862,'8.Non-elective admissions - CCG'!$D$5:$Q$215,12,0)*$H862</f>
        <v>127.87518589941081</v>
      </c>
      <c r="T862" s="384">
        <f>VLOOKUP($A862,'8.Non-elective admissions - CCG'!$D$5:$Q$215,13,0)*$H862</f>
        <v>133.56601283324014</v>
      </c>
      <c r="U862" s="384">
        <f>VLOOKUP($A862,'8.Non-elective admissions - CCG'!$D$5:$Q$215,14,0)*$H862</f>
        <v>139.48730939367312</v>
      </c>
    </row>
    <row r="863" spans="1:21">
      <c r="A863" s="395" t="s">
        <v>634</v>
      </c>
      <c r="B863" s="395" t="s">
        <v>633</v>
      </c>
      <c r="C863" s="395" t="s">
        <v>756</v>
      </c>
      <c r="D863" s="395" t="s">
        <v>384</v>
      </c>
      <c r="E863" s="537">
        <f>COUNTIF($D$5:D863,D863)</f>
        <v>6</v>
      </c>
      <c r="F863" s="537" t="str">
        <f t="shared" si="26"/>
        <v>Sandwell6</v>
      </c>
      <c r="G863" s="541" t="str">
        <f t="shared" si="27"/>
        <v>NHS Wolverhampton CCG</v>
      </c>
      <c r="H863" s="546">
        <v>3.1607654301265445E-3</v>
      </c>
      <c r="I863" s="546">
        <v>2.4859919885841819E-3</v>
      </c>
      <c r="J863" s="384">
        <f>VLOOKUP($A863,'8.Non-elective admissions - CCG'!$D$5:$N$215,3,0)*$H863</f>
        <v>23.060944578203269</v>
      </c>
      <c r="K863" s="384">
        <f>VLOOKUP($A863,'8.Non-elective admissions - CCG'!$D$5:$N$215,4,0)*$H863</f>
        <v>21.799799171582777</v>
      </c>
      <c r="L863" s="384">
        <f>VLOOKUP($A863,'8.Non-elective admissions - CCG'!$D$5:$N$215,5,0)*$H863</f>
        <v>22.890263244976435</v>
      </c>
      <c r="M863" s="384">
        <f>VLOOKUP($A863,'8.Non-elective admissions - CCG'!$D$5:$N$215,6,0)*$H863</f>
        <v>22.2075379120691</v>
      </c>
      <c r="N863" s="384">
        <f>VLOOKUP($A863,'8.Non-elective admissions - CCG'!$D$5:$N$215,7,0)*$H863</f>
        <v>24.410591416867302</v>
      </c>
      <c r="O863" s="384">
        <f>VLOOKUP($A863,'8.Non-elective admissions - CCG'!$D$5:$N$215,8,0)*$H863</f>
        <v>23.212661318849342</v>
      </c>
      <c r="P863" s="384">
        <f>VLOOKUP($A863,'8.Non-elective admissions - CCG'!$D$5:$N$215,9,0)*$H863</f>
        <v>24.246231614500722</v>
      </c>
      <c r="Q863" s="384">
        <f>VLOOKUP($A863,'8.Non-elective admissions - CCG'!$D$5:$N$215,10,0)*$H863</f>
        <v>25.314570329883495</v>
      </c>
      <c r="R863" s="384">
        <f>VLOOKUP($A863,'8.Non-elective admissions - CCG'!$D$5:$Q$215,11,0)*$H863</f>
        <v>23.971245022079714</v>
      </c>
      <c r="S863" s="384">
        <f>VLOOKUP($A863,'8.Non-elective admissions - CCG'!$D$5:$Q$215,12,0)*$H863</f>
        <v>22.798601047502764</v>
      </c>
      <c r="T863" s="384">
        <f>VLOOKUP($A863,'8.Non-elective admissions - CCG'!$D$5:$Q$215,13,0)*$H863</f>
        <v>23.813206750573386</v>
      </c>
      <c r="U863" s="384">
        <f>VLOOKUP($A863,'8.Non-elective admissions - CCG'!$D$5:$Q$215,14,0)*$H863</f>
        <v>24.868902404235651</v>
      </c>
    </row>
    <row r="864" spans="1:21">
      <c r="A864" s="395" t="s">
        <v>634</v>
      </c>
      <c r="B864" s="395" t="s">
        <v>633</v>
      </c>
      <c r="C864" s="395" t="s">
        <v>769</v>
      </c>
      <c r="D864" s="395" t="s">
        <v>423</v>
      </c>
      <c r="E864" s="537">
        <f>COUNTIF($D$5:D864,D864)</f>
        <v>17</v>
      </c>
      <c r="F864" s="537" t="str">
        <f t="shared" si="26"/>
        <v>Staffordshire17</v>
      </c>
      <c r="G864" s="541" t="str">
        <f t="shared" si="27"/>
        <v>NHS Wolverhampton CCG</v>
      </c>
      <c r="H864" s="546">
        <v>2.9207602572733735E-2</v>
      </c>
      <c r="I864" s="546">
        <v>8.8297657047714546E-3</v>
      </c>
      <c r="J864" s="384">
        <f>VLOOKUP($A864,'8.Non-elective admissions - CCG'!$D$5:$N$215,3,0)*$H864</f>
        <v>213.09866837066534</v>
      </c>
      <c r="K864" s="384">
        <f>VLOOKUP($A864,'8.Non-elective admissions - CCG'!$D$5:$N$215,4,0)*$H864</f>
        <v>201.44483494414456</v>
      </c>
      <c r="L864" s="384">
        <f>VLOOKUP($A864,'8.Non-elective admissions - CCG'!$D$5:$N$215,5,0)*$H864</f>
        <v>211.52145783173771</v>
      </c>
      <c r="M864" s="384">
        <f>VLOOKUP($A864,'8.Non-elective admissions - CCG'!$D$5:$N$215,6,0)*$H864</f>
        <v>205.21261567602721</v>
      </c>
      <c r="N864" s="384">
        <f>VLOOKUP($A864,'8.Non-elective admissions - CCG'!$D$5:$N$215,7,0)*$H864</f>
        <v>225.57031466922263</v>
      </c>
      <c r="O864" s="384">
        <f>VLOOKUP($A864,'8.Non-elective admissions - CCG'!$D$5:$N$215,8,0)*$H864</f>
        <v>214.50063329415656</v>
      </c>
      <c r="P864" s="384">
        <f>VLOOKUP($A864,'8.Non-elective admissions - CCG'!$D$5:$N$215,9,0)*$H864</f>
        <v>224.05151933544047</v>
      </c>
      <c r="Q864" s="384">
        <f>VLOOKUP($A864,'8.Non-elective admissions - CCG'!$D$5:$N$215,10,0)*$H864</f>
        <v>233.92368900502447</v>
      </c>
      <c r="R864" s="384">
        <f>VLOOKUP($A864,'8.Non-elective admissions - CCG'!$D$5:$Q$215,11,0)*$H864</f>
        <v>221.51045791161263</v>
      </c>
      <c r="S864" s="384">
        <f>VLOOKUP($A864,'8.Non-elective admissions - CCG'!$D$5:$Q$215,12,0)*$H864</f>
        <v>210.67443735712843</v>
      </c>
      <c r="T864" s="384">
        <f>VLOOKUP($A864,'8.Non-elective admissions - CCG'!$D$5:$Q$215,13,0)*$H864</f>
        <v>220.05007778297596</v>
      </c>
      <c r="U864" s="384">
        <f>VLOOKUP($A864,'8.Non-elective admissions - CCG'!$D$5:$Q$215,14,0)*$H864</f>
        <v>229.80541704226903</v>
      </c>
    </row>
    <row r="865" spans="1:21">
      <c r="A865" s="395" t="s">
        <v>634</v>
      </c>
      <c r="B865" s="395" t="s">
        <v>633</v>
      </c>
      <c r="C865" s="395" t="s">
        <v>785</v>
      </c>
      <c r="D865" s="395" t="s">
        <v>471</v>
      </c>
      <c r="E865" s="537">
        <f>COUNTIF($D$5:D865,D865)</f>
        <v>5</v>
      </c>
      <c r="F865" s="537" t="str">
        <f t="shared" si="26"/>
        <v>Walsall5</v>
      </c>
      <c r="G865" s="541" t="str">
        <f t="shared" si="27"/>
        <v>NHS Wolverhampton CCG</v>
      </c>
      <c r="H865" s="546">
        <v>1.2749561638729456E-2</v>
      </c>
      <c r="I865" s="546">
        <v>1.2023559289203907E-2</v>
      </c>
      <c r="J865" s="384">
        <f>VLOOKUP($A865,'8.Non-elective admissions - CCG'!$D$5:$N$215,3,0)*$H865</f>
        <v>93.020801716170112</v>
      </c>
      <c r="K865" s="384">
        <f>VLOOKUP($A865,'8.Non-elective admissions - CCG'!$D$5:$N$215,4,0)*$H865</f>
        <v>87.933726622317053</v>
      </c>
      <c r="L865" s="384">
        <f>VLOOKUP($A865,'8.Non-elective admissions - CCG'!$D$5:$N$215,5,0)*$H865</f>
        <v>92.332325387678722</v>
      </c>
      <c r="M865" s="384">
        <f>VLOOKUP($A865,'8.Non-elective admissions - CCG'!$D$5:$N$215,6,0)*$H865</f>
        <v>89.578420073713161</v>
      </c>
      <c r="N865" s="384">
        <f>VLOOKUP($A865,'8.Non-elective admissions - CCG'!$D$5:$N$215,7,0)*$H865</f>
        <v>98.464864535907594</v>
      </c>
      <c r="O865" s="384">
        <f>VLOOKUP($A865,'8.Non-elective admissions - CCG'!$D$5:$N$215,8,0)*$H865</f>
        <v>93.632780674829121</v>
      </c>
      <c r="P865" s="384">
        <f>VLOOKUP($A865,'8.Non-elective admissions - CCG'!$D$5:$N$215,9,0)*$H865</f>
        <v>97.80188733069366</v>
      </c>
      <c r="Q865" s="384">
        <f>VLOOKUP($A865,'8.Non-elective admissions - CCG'!$D$5:$N$215,10,0)*$H865</f>
        <v>102.11123916458422</v>
      </c>
      <c r="R865" s="384">
        <f>VLOOKUP($A865,'8.Non-elective admissions - CCG'!$D$5:$Q$215,11,0)*$H865</f>
        <v>96.692675468124193</v>
      </c>
      <c r="S865" s="384">
        <f>VLOOKUP($A865,'8.Non-elective admissions - CCG'!$D$5:$Q$215,12,0)*$H865</f>
        <v>91.962588100155571</v>
      </c>
      <c r="T865" s="384">
        <f>VLOOKUP($A865,'8.Non-elective admissions - CCG'!$D$5:$Q$215,13,0)*$H865</f>
        <v>96.055197386187729</v>
      </c>
      <c r="U865" s="384">
        <f>VLOOKUP($A865,'8.Non-elective admissions - CCG'!$D$5:$Q$215,14,0)*$H865</f>
        <v>100.31355097352336</v>
      </c>
    </row>
    <row r="866" spans="1:21">
      <c r="A866" s="395" t="s">
        <v>634</v>
      </c>
      <c r="B866" s="395" t="s">
        <v>633</v>
      </c>
      <c r="C866" s="395" t="s">
        <v>798</v>
      </c>
      <c r="D866" s="395" t="s">
        <v>510</v>
      </c>
      <c r="E866" s="537">
        <f>COUNTIF($D$5:D866,D866)</f>
        <v>5</v>
      </c>
      <c r="F866" s="537" t="str">
        <f t="shared" si="26"/>
        <v>Wolverhampton5</v>
      </c>
      <c r="G866" s="541" t="str">
        <f t="shared" si="27"/>
        <v>NHS Wolverhampton CCG</v>
      </c>
      <c r="H866" s="546">
        <v>0.9371536375427425</v>
      </c>
      <c r="I866" s="546">
        <v>0.92634729188128329</v>
      </c>
      <c r="J866" s="384">
        <f>VLOOKUP($A866,'8.Non-elective admissions - CCG'!$D$5:$N$215,3,0)*$H866</f>
        <v>6837.4729395118493</v>
      </c>
      <c r="K866" s="384">
        <f>VLOOKUP($A866,'8.Non-elective admissions - CCG'!$D$5:$N$215,4,0)*$H866</f>
        <v>6463.5486381322953</v>
      </c>
      <c r="L866" s="384">
        <f>VLOOKUP($A866,'8.Non-elective admissions - CCG'!$D$5:$N$215,5,0)*$H866</f>
        <v>6786.8666430845415</v>
      </c>
      <c r="M866" s="384">
        <f>VLOOKUP($A866,'8.Non-elective admissions - CCG'!$D$5:$N$215,6,0)*$H866</f>
        <v>6584.4414573753093</v>
      </c>
      <c r="N866" s="384">
        <f>VLOOKUP($A866,'8.Non-elective admissions - CCG'!$D$5:$N$215,7,0)*$H866</f>
        <v>7237.6375427426001</v>
      </c>
      <c r="O866" s="384">
        <f>VLOOKUP($A866,'8.Non-elective admissions - CCG'!$D$5:$N$215,8,0)*$H866</f>
        <v>6882.4563141139006</v>
      </c>
      <c r="P866" s="384">
        <f>VLOOKUP($A866,'8.Non-elective admissions - CCG'!$D$5:$N$215,9,0)*$H866</f>
        <v>7188.9055535903781</v>
      </c>
      <c r="Q866" s="384">
        <f>VLOOKUP($A866,'8.Non-elective admissions - CCG'!$D$5:$N$215,10,0)*$H866</f>
        <v>7505.6634830798248</v>
      </c>
      <c r="R866" s="384">
        <f>VLOOKUP($A866,'8.Non-elective admissions - CCG'!$D$5:$Q$215,11,0)*$H866</f>
        <v>7107.3731871241589</v>
      </c>
      <c r="S866" s="384">
        <f>VLOOKUP($A866,'8.Non-elective admissions - CCG'!$D$5:$Q$215,12,0)*$H866</f>
        <v>6759.6891875958017</v>
      </c>
      <c r="T866" s="384">
        <f>VLOOKUP($A866,'8.Non-elective admissions - CCG'!$D$5:$Q$215,13,0)*$H866</f>
        <v>7060.5155052470218</v>
      </c>
      <c r="U866" s="384">
        <f>VLOOKUP($A866,'8.Non-elective admissions - CCG'!$D$5:$Q$215,14,0)*$H866</f>
        <v>7373.5248201862978</v>
      </c>
    </row>
    <row r="867" spans="1:21">
      <c r="A867" s="395" t="s">
        <v>636</v>
      </c>
      <c r="B867" s="395" t="s">
        <v>635</v>
      </c>
      <c r="C867" s="395" t="s">
        <v>687</v>
      </c>
      <c r="D867" s="395" t="s">
        <v>162</v>
      </c>
      <c r="E867" s="537">
        <f>COUNTIF($D$5:D867,D867)</f>
        <v>5</v>
      </c>
      <c r="F867" s="537" t="str">
        <f t="shared" si="26"/>
        <v>Dudley5</v>
      </c>
      <c r="G867" s="541" t="str">
        <f t="shared" si="27"/>
        <v>NHS Wyre Forest CCG</v>
      </c>
      <c r="H867" s="546">
        <v>5.5420084238528046E-3</v>
      </c>
      <c r="I867" s="546">
        <v>1.9479993267714326E-3</v>
      </c>
      <c r="J867" s="384">
        <f>VLOOKUP($A867,'8.Non-elective admissions - CCG'!$D$5:$N$215,3,0)*$H867</f>
        <v>11.649301706938596</v>
      </c>
      <c r="K867" s="384">
        <f>VLOOKUP($A867,'8.Non-elective admissions - CCG'!$D$5:$N$215,4,0)*$H867</f>
        <v>11.743515850144092</v>
      </c>
      <c r="L867" s="384">
        <f>VLOOKUP($A867,'8.Non-elective admissions - CCG'!$D$5:$N$215,5,0)*$H867</f>
        <v>12.702283307470628</v>
      </c>
      <c r="M867" s="384">
        <f>VLOOKUP($A867,'8.Non-elective admissions - CCG'!$D$5:$N$215,6,0)*$H867</f>
        <v>11.449789403679894</v>
      </c>
      <c r="N867" s="384">
        <f>VLOOKUP($A867,'8.Non-elective admissions - CCG'!$D$5:$N$215,7,0)*$H867</f>
        <v>11.682553757481712</v>
      </c>
      <c r="O867" s="384">
        <f>VLOOKUP($A867,'8.Non-elective admissions - CCG'!$D$5:$N$215,8,0)*$H867</f>
        <v>11.410995344712925</v>
      </c>
      <c r="P867" s="384">
        <f>VLOOKUP($A867,'8.Non-elective admissions - CCG'!$D$5:$N$215,9,0)*$H867</f>
        <v>12.253380625138551</v>
      </c>
      <c r="Q867" s="384">
        <f>VLOOKUP($A867,'8.Non-elective admissions - CCG'!$D$5:$N$215,10,0)*$H867</f>
        <v>11.6603857237863</v>
      </c>
      <c r="R867" s="384">
        <f>VLOOKUP($A867,'8.Non-elective admissions - CCG'!$D$5:$Q$215,11,0)*$H867</f>
        <v>11.189315007758813</v>
      </c>
      <c r="S867" s="384">
        <f>VLOOKUP($A867,'8.Non-elective admissions - CCG'!$D$5:$Q$215,12,0)*$H867</f>
        <v>11.172688982487253</v>
      </c>
      <c r="T867" s="384">
        <f>VLOOKUP($A867,'8.Non-elective admissions - CCG'!$D$5:$Q$215,13,0)*$H867</f>
        <v>12.209044557747729</v>
      </c>
      <c r="U867" s="384">
        <f>VLOOKUP($A867,'8.Non-elective admissions - CCG'!$D$5:$Q$215,14,0)*$H867</f>
        <v>11.616049656395479</v>
      </c>
    </row>
    <row r="868" spans="1:21">
      <c r="A868" s="395" t="s">
        <v>636</v>
      </c>
      <c r="B868" s="395" t="s">
        <v>635</v>
      </c>
      <c r="C868" s="395" t="s">
        <v>759</v>
      </c>
      <c r="D868" s="395" t="s">
        <v>393</v>
      </c>
      <c r="E868" s="537">
        <f>COUNTIF($D$5:D868,D868)</f>
        <v>9</v>
      </c>
      <c r="F868" s="537" t="str">
        <f t="shared" si="26"/>
        <v>Shropshire9</v>
      </c>
      <c r="G868" s="541" t="str">
        <f t="shared" si="27"/>
        <v>NHS Wyre Forest CCG</v>
      </c>
      <c r="H868" s="546">
        <v>7.0849035690534251E-3</v>
      </c>
      <c r="I868" s="546">
        <v>2.6768783377222076E-3</v>
      </c>
      <c r="J868" s="384">
        <f>VLOOKUP($A868,'8.Non-elective admissions - CCG'!$D$5:$N$215,3,0)*$H868</f>
        <v>14.892467302150299</v>
      </c>
      <c r="K868" s="384">
        <f>VLOOKUP($A868,'8.Non-elective admissions - CCG'!$D$5:$N$215,4,0)*$H868</f>
        <v>15.012910662824208</v>
      </c>
      <c r="L868" s="384">
        <f>VLOOKUP($A868,'8.Non-elective admissions - CCG'!$D$5:$N$215,5,0)*$H868</f>
        <v>16.238598980270449</v>
      </c>
      <c r="M868" s="384">
        <f>VLOOKUP($A868,'8.Non-elective admissions - CCG'!$D$5:$N$215,6,0)*$H868</f>
        <v>14.637410773664376</v>
      </c>
      <c r="N868" s="384">
        <f>VLOOKUP($A868,'8.Non-elective admissions - CCG'!$D$5:$N$215,7,0)*$H868</f>
        <v>14.93497672356462</v>
      </c>
      <c r="O868" s="384">
        <f>VLOOKUP($A868,'8.Non-elective admissions - CCG'!$D$5:$N$215,8,0)*$H868</f>
        <v>14.587816448681002</v>
      </c>
      <c r="P868" s="384">
        <f>VLOOKUP($A868,'8.Non-elective admissions - CCG'!$D$5:$N$215,9,0)*$H868</f>
        <v>15.664721791177122</v>
      </c>
      <c r="Q868" s="384">
        <f>VLOOKUP($A868,'8.Non-elective admissions - CCG'!$D$5:$N$215,10,0)*$H868</f>
        <v>14.906637109288406</v>
      </c>
      <c r="R868" s="384">
        <f>VLOOKUP($A868,'8.Non-elective admissions - CCG'!$D$5:$Q$215,11,0)*$H868</f>
        <v>14.304420305918866</v>
      </c>
      <c r="S868" s="384">
        <f>VLOOKUP($A868,'8.Non-elective admissions - CCG'!$D$5:$Q$215,12,0)*$H868</f>
        <v>14.283165595211704</v>
      </c>
      <c r="T868" s="384">
        <f>VLOOKUP($A868,'8.Non-elective admissions - CCG'!$D$5:$Q$215,13,0)*$H868</f>
        <v>15.608042562624695</v>
      </c>
      <c r="U868" s="384">
        <f>VLOOKUP($A868,'8.Non-elective admissions - CCG'!$D$5:$Q$215,14,0)*$H868</f>
        <v>14.849957880735978</v>
      </c>
    </row>
    <row r="869" spans="1:21">
      <c r="A869" s="395" t="s">
        <v>636</v>
      </c>
      <c r="B869" s="395" t="s">
        <v>635</v>
      </c>
      <c r="C869" s="395" t="s">
        <v>769</v>
      </c>
      <c r="D869" s="395" t="s">
        <v>423</v>
      </c>
      <c r="E869" s="537">
        <f>COUNTIF($D$5:D869,D869)</f>
        <v>18</v>
      </c>
      <c r="F869" s="537" t="str">
        <f t="shared" si="26"/>
        <v>Staffordshire18</v>
      </c>
      <c r="G869" s="541" t="str">
        <f t="shared" si="27"/>
        <v>NHS Wyre Forest CCG</v>
      </c>
      <c r="H869" s="546">
        <v>1.8177787630237199E-3</v>
      </c>
      <c r="I869" s="546">
        <v>0</v>
      </c>
      <c r="J869" s="384">
        <f>VLOOKUP($A869,'8.Non-elective admissions - CCG'!$D$5:$N$215,3,0)*$H869</f>
        <v>3.8209709598758592</v>
      </c>
      <c r="K869" s="384">
        <f>VLOOKUP($A869,'8.Non-elective admissions - CCG'!$D$5:$N$215,4,0)*$H869</f>
        <v>3.8518731988472625</v>
      </c>
      <c r="L869" s="384">
        <f>VLOOKUP($A869,'8.Non-elective admissions - CCG'!$D$5:$N$215,5,0)*$H869</f>
        <v>4.1663489248503662</v>
      </c>
      <c r="M869" s="384">
        <f>VLOOKUP($A869,'8.Non-elective admissions - CCG'!$D$5:$N$215,6,0)*$H869</f>
        <v>3.7555309244070054</v>
      </c>
      <c r="N869" s="384">
        <f>VLOOKUP($A869,'8.Non-elective admissions - CCG'!$D$5:$N$215,7,0)*$H869</f>
        <v>3.8318776324540016</v>
      </c>
      <c r="O869" s="384">
        <f>VLOOKUP($A869,'8.Non-elective admissions - CCG'!$D$5:$N$215,8,0)*$H869</f>
        <v>3.7428064730658392</v>
      </c>
      <c r="P869" s="384">
        <f>VLOOKUP($A869,'8.Non-elective admissions - CCG'!$D$5:$N$215,9,0)*$H869</f>
        <v>4.0191088450454444</v>
      </c>
      <c r="Q869" s="384">
        <f>VLOOKUP($A869,'8.Non-elective admissions - CCG'!$D$5:$N$215,10,0)*$H869</f>
        <v>3.8246065174019068</v>
      </c>
      <c r="R869" s="384">
        <f>VLOOKUP($A869,'8.Non-elective admissions - CCG'!$D$5:$Q$215,11,0)*$H869</f>
        <v>3.6700953225448902</v>
      </c>
      <c r="S869" s="384">
        <f>VLOOKUP($A869,'8.Non-elective admissions - CCG'!$D$5:$Q$215,12,0)*$H869</f>
        <v>3.6646419862558193</v>
      </c>
      <c r="T869" s="384">
        <f>VLOOKUP($A869,'8.Non-elective admissions - CCG'!$D$5:$Q$215,13,0)*$H869</f>
        <v>4.0045666149412549</v>
      </c>
      <c r="U869" s="384">
        <f>VLOOKUP($A869,'8.Non-elective admissions - CCG'!$D$5:$Q$215,14,0)*$H869</f>
        <v>3.8100642872977168</v>
      </c>
    </row>
    <row r="870" spans="1:21">
      <c r="A870" s="395" t="s">
        <v>636</v>
      </c>
      <c r="B870" s="395" t="s">
        <v>635</v>
      </c>
      <c r="C870" s="395" t="s">
        <v>799</v>
      </c>
      <c r="D870" s="395" t="s">
        <v>513</v>
      </c>
      <c r="E870" s="537">
        <f>COUNTIF($D$5:D870,D870)</f>
        <v>11</v>
      </c>
      <c r="F870" s="537" t="str">
        <f t="shared" si="26"/>
        <v>Worcestershire11</v>
      </c>
      <c r="G870" s="541" t="str">
        <f t="shared" si="27"/>
        <v>NHS Wyre Forest CCG</v>
      </c>
      <c r="H870" s="546">
        <v>0.98555530924407009</v>
      </c>
      <c r="I870" s="546">
        <v>0.18850190289470647</v>
      </c>
      <c r="J870" s="384">
        <f>VLOOKUP($A870,'8.Non-elective admissions - CCG'!$D$5:$N$215,3,0)*$H870</f>
        <v>2071.6372600310351</v>
      </c>
      <c r="K870" s="384">
        <f>VLOOKUP($A870,'8.Non-elective admissions - CCG'!$D$5:$N$215,4,0)*$H870</f>
        <v>2088.3917002881844</v>
      </c>
      <c r="L870" s="384">
        <f>VLOOKUP($A870,'8.Non-elective admissions - CCG'!$D$5:$N$215,5,0)*$H870</f>
        <v>2258.8927687874088</v>
      </c>
      <c r="M870" s="384">
        <f>VLOOKUP($A870,'8.Non-elective admissions - CCG'!$D$5:$N$215,6,0)*$H870</f>
        <v>2036.1572688982487</v>
      </c>
      <c r="N870" s="384">
        <f>VLOOKUP($A870,'8.Non-elective admissions - CCG'!$D$5:$N$215,7,0)*$H870</f>
        <v>2077.5505918864997</v>
      </c>
      <c r="O870" s="384">
        <f>VLOOKUP($A870,'8.Non-elective admissions - CCG'!$D$5:$N$215,8,0)*$H870</f>
        <v>2029.2583817335403</v>
      </c>
      <c r="P870" s="384">
        <f>VLOOKUP($A870,'8.Non-elective admissions - CCG'!$D$5:$N$215,9,0)*$H870</f>
        <v>2179.062788738639</v>
      </c>
      <c r="Q870" s="384">
        <f>VLOOKUP($A870,'8.Non-elective admissions - CCG'!$D$5:$N$215,10,0)*$H870</f>
        <v>2073.6083706495233</v>
      </c>
      <c r="R870" s="384">
        <f>VLOOKUP($A870,'8.Non-elective admissions - CCG'!$D$5:$Q$215,11,0)*$H870</f>
        <v>1989.8361693637776</v>
      </c>
      <c r="S870" s="384">
        <f>VLOOKUP($A870,'8.Non-elective admissions - CCG'!$D$5:$Q$215,12,0)*$H870</f>
        <v>1986.8795034360453</v>
      </c>
      <c r="T870" s="384">
        <f>VLOOKUP($A870,'8.Non-elective admissions - CCG'!$D$5:$Q$215,13,0)*$H870</f>
        <v>2171.1783462646863</v>
      </c>
      <c r="U870" s="384">
        <f>VLOOKUP($A870,'8.Non-elective admissions - CCG'!$D$5:$Q$215,14,0)*$H870</f>
        <v>2065.723928175571</v>
      </c>
    </row>
    <row r="871" spans="1:21">
      <c r="J871" s="538">
        <f t="shared" ref="J871:U871" si="28">SUM(J5:J870)</f>
        <v>1333470.9999999998</v>
      </c>
      <c r="K871" s="538">
        <f t="shared" si="28"/>
        <v>1322136.9999999986</v>
      </c>
      <c r="L871" s="538">
        <f t="shared" si="28"/>
        <v>1373818.0000000007</v>
      </c>
      <c r="M871" s="538">
        <f t="shared" si="28"/>
        <v>1364836.9999999974</v>
      </c>
      <c r="N871" s="538">
        <f t="shared" si="28"/>
        <v>1356745.5244463105</v>
      </c>
      <c r="O871" s="538">
        <f t="shared" si="28"/>
        <v>1357444.8625149054</v>
      </c>
      <c r="P871" s="538">
        <f t="shared" si="28"/>
        <v>1383126.0856959901</v>
      </c>
      <c r="Q871" s="538">
        <f t="shared" si="28"/>
        <v>1361515.6817551129</v>
      </c>
      <c r="R871" s="538">
        <f t="shared" si="28"/>
        <v>1289364.2717483195</v>
      </c>
      <c r="S871" s="538">
        <f t="shared" si="28"/>
        <v>1289198.1695529195</v>
      </c>
      <c r="T871" s="538">
        <f t="shared" si="28"/>
        <v>1319624.2063894363</v>
      </c>
      <c r="U871" s="538">
        <f t="shared" si="28"/>
        <v>1301242.752725757</v>
      </c>
    </row>
  </sheetData>
  <sheetProtection password="DABD" sheet="1" objects="1" scenarios="1" formatColumns="0" formatRows="0" autoFilter="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58"/>
  <sheetViews>
    <sheetView workbookViewId="0">
      <pane xSplit="5" ySplit="4" topLeftCell="F5" activePane="bottomRight" state="frozen"/>
      <selection activeCell="J216" sqref="J216:M216"/>
      <selection pane="topRight" activeCell="J216" sqref="J216:M216"/>
      <selection pane="bottomLeft" activeCell="J216" sqref="J216:M216"/>
      <selection pane="bottomRight" activeCell="F5" sqref="F5"/>
    </sheetView>
  </sheetViews>
  <sheetFormatPr defaultColWidth="9.109375" defaultRowHeight="15.05"/>
  <cols>
    <col min="1" max="1" width="15.44140625" style="362" customWidth="1"/>
    <col min="2" max="2" width="6.33203125" style="362" customWidth="1"/>
    <col min="3" max="3" width="22" style="362" customWidth="1"/>
    <col min="4" max="4" width="12.88671875" style="362" customWidth="1"/>
    <col min="5" max="5" width="24.44140625" style="362" customWidth="1"/>
    <col min="6" max="9" width="9.88671875" style="392" customWidth="1"/>
    <col min="10" max="13" width="9" style="392" customWidth="1"/>
    <col min="14" max="14" width="9.109375" style="392" customWidth="1"/>
    <col min="15" max="16384" width="9.109375" style="362"/>
  </cols>
  <sheetData>
    <row r="1" spans="1:17">
      <c r="A1" s="398" t="s">
        <v>1253</v>
      </c>
    </row>
    <row r="2" spans="1:17" s="363" customFormat="1" ht="12.8" customHeight="1" thickBot="1">
      <c r="F2" s="365" t="s">
        <v>1254</v>
      </c>
      <c r="G2" s="365"/>
      <c r="H2" s="365"/>
      <c r="I2" s="365"/>
      <c r="J2" s="365"/>
      <c r="K2" s="365"/>
      <c r="L2" s="365"/>
      <c r="M2" s="365"/>
      <c r="N2" s="365"/>
    </row>
    <row r="3" spans="1:17" ht="20.95" customHeight="1">
      <c r="A3" s="399"/>
      <c r="B3" s="400"/>
      <c r="C3" s="400"/>
      <c r="D3" s="400"/>
      <c r="E3" s="400"/>
      <c r="F3" s="368" t="s">
        <v>993</v>
      </c>
      <c r="G3" s="426"/>
      <c r="H3" s="426"/>
      <c r="I3" s="426"/>
      <c r="J3" s="495" t="s">
        <v>994</v>
      </c>
      <c r="K3" s="495"/>
      <c r="L3" s="495"/>
      <c r="M3" s="495"/>
      <c r="N3" s="495" t="s">
        <v>995</v>
      </c>
      <c r="O3" s="495"/>
      <c r="P3" s="495"/>
      <c r="Q3" s="496"/>
    </row>
    <row r="4" spans="1:17" ht="30.8" thickBot="1">
      <c r="A4" s="401" t="s">
        <v>1197</v>
      </c>
      <c r="B4" s="402" t="s">
        <v>848</v>
      </c>
      <c r="C4" s="402" t="s">
        <v>1198</v>
      </c>
      <c r="D4" s="403" t="s">
        <v>1251</v>
      </c>
      <c r="E4" s="494" t="s">
        <v>1252</v>
      </c>
      <c r="F4" s="434" t="s">
        <v>1271</v>
      </c>
      <c r="G4" s="435" t="s">
        <v>1272</v>
      </c>
      <c r="H4" s="435" t="s">
        <v>1273</v>
      </c>
      <c r="I4" s="435" t="s">
        <v>1274</v>
      </c>
      <c r="J4" s="548" t="s">
        <v>1271</v>
      </c>
      <c r="K4" s="548" t="s">
        <v>1272</v>
      </c>
      <c r="L4" s="548" t="s">
        <v>1273</v>
      </c>
      <c r="M4" s="548" t="s">
        <v>1274</v>
      </c>
      <c r="N4" s="548" t="s">
        <v>1271</v>
      </c>
      <c r="O4" s="548" t="s">
        <v>1272</v>
      </c>
      <c r="P4" s="548" t="s">
        <v>1273</v>
      </c>
      <c r="Q4" s="549" t="s">
        <v>1274</v>
      </c>
    </row>
    <row r="5" spans="1:17">
      <c r="A5" s="375" t="s">
        <v>1223</v>
      </c>
      <c r="B5" s="376" t="s">
        <v>931</v>
      </c>
      <c r="C5" s="376" t="s">
        <v>932</v>
      </c>
      <c r="D5" s="376" t="s">
        <v>673</v>
      </c>
      <c r="E5" s="377" t="s">
        <v>110</v>
      </c>
      <c r="F5" s="384">
        <f>SUMIF('9.Non-elective admissions - Map'!$C$5:$C$870,'10.Non-elective admissions -HWB'!$D5,'9.Non-elective admissions - Map'!J$5:J$870)</f>
        <v>9080.1958542942084</v>
      </c>
      <c r="G5" s="384">
        <f>SUMIF('9.Non-elective admissions - Map'!$C$5:$C$870,'10.Non-elective admissions -HWB'!$D5,'9.Non-elective admissions - Map'!K$5:K$870)</f>
        <v>9045.3553125626713</v>
      </c>
      <c r="H5" s="384">
        <f>SUMIF('9.Non-elective admissions - Map'!$C$5:$C$870,'10.Non-elective admissions -HWB'!$D5,'9.Non-elective admissions - Map'!L$5:L$870)</f>
        <v>9334.6843830919388</v>
      </c>
      <c r="I5" s="384">
        <f>SUMIF('9.Non-elective admissions - Map'!$C$5:$C$870,'10.Non-elective admissions -HWB'!$D5,'9.Non-elective admissions - Map'!M$5:M$870)</f>
        <v>8938.7982826294137</v>
      </c>
      <c r="J5" s="384">
        <f>SUMIF('9.Non-elective admissions - Map'!$C$5:$C$870,'10.Non-elective admissions -HWB'!$D5,'9.Non-elective admissions - Map'!N$5:N$870)</f>
        <v>10488.469350547466</v>
      </c>
      <c r="K5" s="384">
        <f>SUMIF('9.Non-elective admissions - Map'!$C$5:$C$870,'10.Non-elective admissions -HWB'!$D5,'9.Non-elective admissions - Map'!O$5:O$870)</f>
        <v>10382.517908629667</v>
      </c>
      <c r="L5" s="384">
        <f>SUMIF('9.Non-elective admissions - Map'!$C$5:$C$870,'10.Non-elective admissions -HWB'!$D5,'9.Non-elective admissions - Map'!P$5:P$870)</f>
        <v>10832.003268075799</v>
      </c>
      <c r="M5" s="384">
        <f>SUMIF('9.Non-elective admissions - Map'!$C$5:$C$870,'10.Non-elective admissions -HWB'!$D5,'9.Non-elective admissions - Map'!Q$5:Q$870)</f>
        <v>10469.816102226296</v>
      </c>
      <c r="N5" s="384">
        <f>SUMIF('9.Non-elective admissions - Map'!$C$5:$C$870,'10.Non-elective admissions -HWB'!$D5,'9.Non-elective admissions - Map'!R$5:R$870)</f>
        <v>10158.478549910273</v>
      </c>
      <c r="O5" s="384">
        <f>SUMIF('9.Non-elective admissions - Map'!$C$5:$C$870,'10.Non-elective admissions -HWB'!$D5,'9.Non-elective admissions - Map'!S$5:S$870)</f>
        <v>10003.899827789304</v>
      </c>
      <c r="P5" s="384">
        <f>SUMIF('9.Non-elective admissions - Map'!$C$5:$C$870,'10.Non-elective admissions -HWB'!$D5,'9.Non-elective admissions - Map'!T$5:T$870)</f>
        <v>10420.412058399004</v>
      </c>
      <c r="Q5" s="384">
        <f>SUMIF('9.Non-elective admissions - Map'!$C$5:$C$870,'10.Non-elective admissions -HWB'!$D5,'9.Non-elective admissions - Map'!U$5:U$870)</f>
        <v>10074.09765865052</v>
      </c>
    </row>
    <row r="6" spans="1:17">
      <c r="A6" s="380" t="s">
        <v>1223</v>
      </c>
      <c r="B6" s="381" t="s">
        <v>931</v>
      </c>
      <c r="C6" s="381" t="s">
        <v>932</v>
      </c>
      <c r="D6" s="381" t="s">
        <v>674</v>
      </c>
      <c r="E6" s="382" t="s">
        <v>114</v>
      </c>
      <c r="F6" s="384">
        <f>SUMIF('9.Non-elective admissions - Map'!$C$5:$C$870,'10.Non-elective admissions -HWB'!$D6,'9.Non-elective admissions - Map'!J$5:J$870)</f>
        <v>8136.9747616717541</v>
      </c>
      <c r="G6" s="384">
        <f>SUMIF('9.Non-elective admissions - Map'!$C$5:$C$870,'10.Non-elective admissions -HWB'!$D6,'9.Non-elective admissions - Map'!K$5:K$870)</f>
        <v>8242.3124330563369</v>
      </c>
      <c r="H6" s="384">
        <f>SUMIF('9.Non-elective admissions - Map'!$C$5:$C$870,'10.Non-elective admissions -HWB'!$D6,'9.Non-elective admissions - Map'!L$5:L$870)</f>
        <v>8468.737380735085</v>
      </c>
      <c r="I6" s="384">
        <f>SUMIF('9.Non-elective admissions - Map'!$C$5:$C$870,'10.Non-elective admissions -HWB'!$D6,'9.Non-elective admissions - Map'!M$5:M$870)</f>
        <v>8142.1955276237395</v>
      </c>
      <c r="J6" s="384">
        <f>SUMIF('9.Non-elective admissions - Map'!$C$5:$C$870,'10.Non-elective admissions -HWB'!$D6,'9.Non-elective admissions - Map'!N$5:N$870)</f>
        <v>8516.107194939259</v>
      </c>
      <c r="K6" s="384">
        <f>SUMIF('9.Non-elective admissions - Map'!$C$5:$C$870,'10.Non-elective admissions -HWB'!$D6,'9.Non-elective admissions - Map'!O$5:O$870)</f>
        <v>8604.6685748521759</v>
      </c>
      <c r="L6" s="384">
        <f>SUMIF('9.Non-elective admissions - Map'!$C$5:$C$870,'10.Non-elective admissions -HWB'!$D6,'9.Non-elective admissions - Map'!P$5:P$870)</f>
        <v>8762.5526037129621</v>
      </c>
      <c r="M6" s="384">
        <f>SUMIF('9.Non-elective admissions - Map'!$C$5:$C$870,'10.Non-elective admissions -HWB'!$D6,'9.Non-elective admissions - Map'!Q$5:Q$870)</f>
        <v>8307.5413884983736</v>
      </c>
      <c r="N6" s="384">
        <f>SUMIF('9.Non-elective admissions - Map'!$C$5:$C$870,'10.Non-elective admissions -HWB'!$D6,'9.Non-elective admissions - Map'!R$5:R$870)</f>
        <v>8241.5313980930605</v>
      </c>
      <c r="O6" s="384">
        <f>SUMIF('9.Non-elective admissions - Map'!$C$5:$C$870,'10.Non-elective admissions -HWB'!$D6,'9.Non-elective admissions - Map'!S$5:S$870)</f>
        <v>8316.9214303835834</v>
      </c>
      <c r="P6" s="384">
        <f>SUMIF('9.Non-elective admissions - Map'!$C$5:$C$870,'10.Non-elective admissions -HWB'!$D6,'9.Non-elective admissions - Map'!T$5:T$870)</f>
        <v>8479.53419785195</v>
      </c>
      <c r="Q6" s="384">
        <f>SUMIF('9.Non-elective admissions - Map'!$C$5:$C$870,'10.Non-elective admissions -HWB'!$D6,'9.Non-elective admissions - Map'!U$5:U$870)</f>
        <v>8029.6407166358167</v>
      </c>
    </row>
    <row r="7" spans="1:17">
      <c r="A7" s="380" t="s">
        <v>1223</v>
      </c>
      <c r="B7" s="381" t="s">
        <v>931</v>
      </c>
      <c r="C7" s="381" t="s">
        <v>932</v>
      </c>
      <c r="D7" s="381" t="s">
        <v>788</v>
      </c>
      <c r="E7" s="382" t="s">
        <v>480</v>
      </c>
      <c r="F7" s="384">
        <f>SUMIF('9.Non-elective admissions - Map'!$C$5:$C$870,'10.Non-elective admissions -HWB'!$D7,'9.Non-elective admissions - Map'!J$5:J$870)</f>
        <v>5969.945023616855</v>
      </c>
      <c r="G7" s="384">
        <f>SUMIF('9.Non-elective admissions - Map'!$C$5:$C$870,'10.Non-elective admissions -HWB'!$D7,'9.Non-elective admissions - Map'!K$5:K$870)</f>
        <v>5896.4670498648493</v>
      </c>
      <c r="H7" s="384">
        <f>SUMIF('9.Non-elective admissions - Map'!$C$5:$C$870,'10.Non-elective admissions -HWB'!$D7,'9.Non-elective admissions - Map'!L$5:L$870)</f>
        <v>5986.4765120323455</v>
      </c>
      <c r="I7" s="384">
        <f>SUMIF('9.Non-elective admissions - Map'!$C$5:$C$870,'10.Non-elective admissions -HWB'!$D7,'9.Non-elective admissions - Map'!M$5:M$870)</f>
        <v>5941.2847950039395</v>
      </c>
      <c r="J7" s="384">
        <f>SUMIF('9.Non-elective admissions - Map'!$C$5:$C$870,'10.Non-elective admissions -HWB'!$D7,'9.Non-elective admissions - Map'!N$5:N$870)</f>
        <v>5634.1760519702357</v>
      </c>
      <c r="K7" s="384">
        <f>SUMIF('9.Non-elective admissions - Map'!$C$5:$C$870,'10.Non-elective admissions -HWB'!$D7,'9.Non-elective admissions - Map'!O$5:O$870)</f>
        <v>5848.1195493007117</v>
      </c>
      <c r="L7" s="384">
        <f>SUMIF('9.Non-elective admissions - Map'!$C$5:$C$870,'10.Non-elective admissions -HWB'!$D7,'9.Non-elective admissions - Map'!P$5:P$870)</f>
        <v>5910.6917805364947</v>
      </c>
      <c r="M7" s="384">
        <f>SUMIF('9.Non-elective admissions - Map'!$C$5:$C$870,'10.Non-elective admissions -HWB'!$D7,'9.Non-elective admissions - Map'!Q$5:Q$870)</f>
        <v>5871.3917131785565</v>
      </c>
      <c r="N7" s="384">
        <f>SUMIF('9.Non-elective admissions - Map'!$C$5:$C$870,'10.Non-elective admissions -HWB'!$D7,'9.Non-elective admissions - Map'!R$5:R$870)</f>
        <v>5466.6320190600909</v>
      </c>
      <c r="O7" s="384">
        <f>SUMIF('9.Non-elective admissions - Map'!$C$5:$C$870,'10.Non-elective admissions -HWB'!$D7,'9.Non-elective admissions - Map'!S$5:S$870)</f>
        <v>5673.6514923170607</v>
      </c>
      <c r="P7" s="384">
        <f>SUMIF('9.Non-elective admissions - Map'!$C$5:$C$870,'10.Non-elective admissions -HWB'!$D7,'9.Non-elective admissions - Map'!T$5:T$870)</f>
        <v>5733.4315171988073</v>
      </c>
      <c r="Q7" s="384">
        <f>SUMIF('9.Non-elective admissions - Map'!$C$5:$C$870,'10.Non-elective admissions -HWB'!$D7,'9.Non-elective admissions - Map'!U$5:U$870)</f>
        <v>5697.2382134412865</v>
      </c>
    </row>
    <row r="8" spans="1:17">
      <c r="A8" s="380" t="s">
        <v>1223</v>
      </c>
      <c r="B8" s="381" t="s">
        <v>931</v>
      </c>
      <c r="C8" s="381" t="s">
        <v>932</v>
      </c>
      <c r="D8" s="381" t="s">
        <v>796</v>
      </c>
      <c r="E8" s="382" t="s">
        <v>504</v>
      </c>
      <c r="F8" s="384">
        <f>SUMIF('9.Non-elective admissions - Map'!$C$5:$C$870,'10.Non-elective admissions -HWB'!$D8,'9.Non-elective admissions - Map'!J$5:J$870)</f>
        <v>11411.76917812863</v>
      </c>
      <c r="G8" s="384">
        <f>SUMIF('9.Non-elective admissions - Map'!$C$5:$C$870,'10.Non-elective admissions -HWB'!$D8,'9.Non-elective admissions - Map'!K$5:K$870)</f>
        <v>11116.579184346399</v>
      </c>
      <c r="H8" s="384">
        <f>SUMIF('9.Non-elective admissions - Map'!$C$5:$C$870,'10.Non-elective admissions -HWB'!$D8,'9.Non-elective admissions - Map'!L$5:L$870)</f>
        <v>12081.001073485932</v>
      </c>
      <c r="I8" s="384">
        <f>SUMIF('9.Non-elective admissions - Map'!$C$5:$C$870,'10.Non-elective admissions -HWB'!$D8,'9.Non-elective admissions - Map'!M$5:M$870)</f>
        <v>11651.796683402412</v>
      </c>
      <c r="J8" s="384">
        <f>SUMIF('9.Non-elective admissions - Map'!$C$5:$C$870,'10.Non-elective admissions -HWB'!$D8,'9.Non-elective admissions - Map'!N$5:N$870)</f>
        <v>11081.225302552106</v>
      </c>
      <c r="K8" s="384">
        <f>SUMIF('9.Non-elective admissions - Map'!$C$5:$C$870,'10.Non-elective admissions -HWB'!$D8,'9.Non-elective admissions - Map'!O$5:O$870)</f>
        <v>11201.066304673646</v>
      </c>
      <c r="L8" s="384">
        <f>SUMIF('9.Non-elective admissions - Map'!$C$5:$C$870,'10.Non-elective admissions -HWB'!$D8,'9.Non-elective admissions - Map'!P$5:P$870)</f>
        <v>11196.98177014324</v>
      </c>
      <c r="M8" s="384">
        <f>SUMIF('9.Non-elective admissions - Map'!$C$5:$C$870,'10.Non-elective admissions -HWB'!$D8,'9.Non-elective admissions - Map'!Q$5:Q$870)</f>
        <v>10947.323355504946</v>
      </c>
      <c r="N8" s="384">
        <f>SUMIF('9.Non-elective admissions - Map'!$C$5:$C$870,'10.Non-elective admissions -HWB'!$D8,'9.Non-elective admissions - Map'!R$5:R$870)</f>
        <v>10121.78070201045</v>
      </c>
      <c r="O8" s="384">
        <f>SUMIF('9.Non-elective admissions - Map'!$C$5:$C$870,'10.Non-elective admissions -HWB'!$D8,'9.Non-elective admissions - Map'!S$5:S$870)</f>
        <v>10229.641727059156</v>
      </c>
      <c r="P8" s="384">
        <f>SUMIF('9.Non-elective admissions - Map'!$C$5:$C$870,'10.Non-elective admissions -HWB'!$D8,'9.Non-elective admissions - Map'!T$5:T$870)</f>
        <v>10228.561557568135</v>
      </c>
      <c r="Q8" s="384">
        <f>SUMIF('9.Non-elective admissions - Map'!$C$5:$C$870,'10.Non-elective admissions -HWB'!$D8,'9.Non-elective admissions - Map'!U$5:U$870)</f>
        <v>10112.637072747173</v>
      </c>
    </row>
    <row r="9" spans="1:17">
      <c r="A9" s="380" t="s">
        <v>1223</v>
      </c>
      <c r="B9" s="381" t="s">
        <v>935</v>
      </c>
      <c r="C9" s="381" t="s">
        <v>936</v>
      </c>
      <c r="D9" s="381" t="s">
        <v>677</v>
      </c>
      <c r="E9" s="382" t="s">
        <v>124</v>
      </c>
      <c r="F9" s="384">
        <f>SUMIF('9.Non-elective admissions - Map'!$C$5:$C$870,'10.Non-elective admissions -HWB'!$D9,'9.Non-elective admissions - Map'!J$5:J$870)</f>
        <v>15798.99169894095</v>
      </c>
      <c r="G9" s="384">
        <f>SUMIF('9.Non-elective admissions - Map'!$C$5:$C$870,'10.Non-elective admissions -HWB'!$D9,'9.Non-elective admissions - Map'!K$5:K$870)</f>
        <v>15173.113109615842</v>
      </c>
      <c r="H9" s="384">
        <f>SUMIF('9.Non-elective admissions - Map'!$C$5:$C$870,'10.Non-elective admissions -HWB'!$D9,'9.Non-elective admissions - Map'!L$5:L$870)</f>
        <v>15862.86043224706</v>
      </c>
      <c r="I9" s="384">
        <f>SUMIF('9.Non-elective admissions - Map'!$C$5:$C$870,'10.Non-elective admissions -HWB'!$D9,'9.Non-elective admissions - Map'!M$5:M$870)</f>
        <v>15455.13749117824</v>
      </c>
      <c r="J9" s="384">
        <f>SUMIF('9.Non-elective admissions - Map'!$C$5:$C$870,'10.Non-elective admissions -HWB'!$D9,'9.Non-elective admissions - Map'!N$5:N$870)</f>
        <v>15542.017689199829</v>
      </c>
      <c r="K9" s="384">
        <f>SUMIF('9.Non-elective admissions - Map'!$C$5:$C$870,'10.Non-elective admissions -HWB'!$D9,'9.Non-elective admissions - Map'!O$5:O$870)</f>
        <v>15431.546627200107</v>
      </c>
      <c r="L9" s="384">
        <f>SUMIF('9.Non-elective admissions - Map'!$C$5:$C$870,'10.Non-elective admissions -HWB'!$D9,'9.Non-elective admissions - Map'!P$5:P$870)</f>
        <v>15714.477899140114</v>
      </c>
      <c r="M9" s="384">
        <f>SUMIF('9.Non-elective admissions - Map'!$C$5:$C$870,'10.Non-elective admissions -HWB'!$D9,'9.Non-elective admissions - Map'!Q$5:Q$870)</f>
        <v>15826.503439864564</v>
      </c>
      <c r="N9" s="384">
        <f>SUMIF('9.Non-elective admissions - Map'!$C$5:$C$870,'10.Non-elective admissions -HWB'!$D9,'9.Non-elective admissions - Map'!R$5:R$870)</f>
        <v>15538.628280690515</v>
      </c>
      <c r="O9" s="384">
        <f>SUMIF('9.Non-elective admissions - Map'!$C$5:$C$870,'10.Non-elective admissions -HWB'!$D9,'9.Non-elective admissions - Map'!S$5:S$870)</f>
        <v>15428.089959789246</v>
      </c>
      <c r="P9" s="384">
        <f>SUMIF('9.Non-elective admissions - Map'!$C$5:$C$870,'10.Non-elective admissions -HWB'!$D9,'9.Non-elective admissions - Map'!T$5:T$870)</f>
        <v>15711.026686444322</v>
      </c>
      <c r="Q9" s="384">
        <f>SUMIF('9.Non-elective admissions - Map'!$C$5:$C$870,'10.Non-elective admissions -HWB'!$D9,'9.Non-elective admissions - Map'!U$5:U$870)</f>
        <v>15823.050334863305</v>
      </c>
    </row>
    <row r="10" spans="1:17">
      <c r="A10" s="380" t="s">
        <v>1223</v>
      </c>
      <c r="B10" s="381" t="s">
        <v>935</v>
      </c>
      <c r="C10" s="381" t="s">
        <v>936</v>
      </c>
      <c r="D10" s="381" t="s">
        <v>681</v>
      </c>
      <c r="E10" s="382" t="s">
        <v>139</v>
      </c>
      <c r="F10" s="384">
        <f>SUMIF('9.Non-elective admissions - Map'!$C$5:$C$870,'10.Non-elective admissions -HWB'!$D10,'9.Non-elective admissions - Map'!J$5:J$870)</f>
        <v>3381.0276571459326</v>
      </c>
      <c r="G10" s="384">
        <f>SUMIF('9.Non-elective admissions - Map'!$C$5:$C$870,'10.Non-elective admissions -HWB'!$D10,'9.Non-elective admissions - Map'!K$5:K$870)</f>
        <v>3365.1289135926936</v>
      </c>
      <c r="H10" s="384">
        <f>SUMIF('9.Non-elective admissions - Map'!$C$5:$C$870,'10.Non-elective admissions -HWB'!$D10,'9.Non-elective admissions - Map'!L$5:L$870)</f>
        <v>3567.1300670182618</v>
      </c>
      <c r="I10" s="384">
        <f>SUMIF('9.Non-elective admissions - Map'!$C$5:$C$870,'10.Non-elective admissions -HWB'!$D10,'9.Non-elective admissions - Map'!M$5:M$870)</f>
        <v>3312.7473429290676</v>
      </c>
      <c r="J10" s="384">
        <f>SUMIF('9.Non-elective admissions - Map'!$C$5:$C$870,'10.Non-elective admissions -HWB'!$D10,'9.Non-elective admissions - Map'!N$5:N$870)</f>
        <v>3372.7998592826275</v>
      </c>
      <c r="K10" s="384">
        <f>SUMIF('9.Non-elective admissions - Map'!$C$5:$C$870,'10.Non-elective admissions -HWB'!$D10,'9.Non-elective admissions - Map'!O$5:O$870)</f>
        <v>3247.2309572012878</v>
      </c>
      <c r="L10" s="384">
        <f>SUMIF('9.Non-elective admissions - Map'!$C$5:$C$870,'10.Non-elective admissions -HWB'!$D10,'9.Non-elective admissions - Map'!P$5:P$870)</f>
        <v>3392.8034298608163</v>
      </c>
      <c r="M10" s="384">
        <f>SUMIF('9.Non-elective admissions - Map'!$C$5:$C$870,'10.Non-elective admissions -HWB'!$D10,'9.Non-elective admissions - Map'!Q$5:Q$870)</f>
        <v>3395.3841042957229</v>
      </c>
      <c r="N10" s="384">
        <f>SUMIF('9.Non-elective admissions - Map'!$C$5:$C$870,'10.Non-elective admissions -HWB'!$D10,'9.Non-elective admissions - Map'!R$5:R$870)</f>
        <v>3338.7632306065511</v>
      </c>
      <c r="O10" s="384">
        <f>SUMIF('9.Non-elective admissions - Map'!$C$5:$C$870,'10.Non-elective admissions -HWB'!$D10,'9.Non-elective admissions - Map'!S$5:S$870)</f>
        <v>3214.1850495969315</v>
      </c>
      <c r="P10" s="384">
        <f>SUMIF('9.Non-elective admissions - Map'!$C$5:$C$870,'10.Non-elective admissions -HWB'!$D10,'9.Non-elective admissions - Map'!T$5:T$870)</f>
        <v>3355.8084462926226</v>
      </c>
      <c r="Q10" s="384">
        <f>SUMIF('9.Non-elective admissions - Map'!$C$5:$C$870,'10.Non-elective admissions -HWB'!$D10,'9.Non-elective admissions - Map'!U$5:U$870)</f>
        <v>3356.4318431494139</v>
      </c>
    </row>
    <row r="11" spans="1:17">
      <c r="A11" s="380" t="s">
        <v>1223</v>
      </c>
      <c r="B11" s="381" t="s">
        <v>935</v>
      </c>
      <c r="C11" s="381" t="s">
        <v>936</v>
      </c>
      <c r="D11" s="381" t="s">
        <v>702</v>
      </c>
      <c r="E11" s="382" t="s">
        <v>215</v>
      </c>
      <c r="F11" s="384">
        <f>SUMIF('9.Non-elective admissions - Map'!$C$5:$C$870,'10.Non-elective admissions -HWB'!$D11,'9.Non-elective admissions - Map'!J$5:J$870)</f>
        <v>2498.7192847254851</v>
      </c>
      <c r="G11" s="384">
        <f>SUMIF('9.Non-elective admissions - Map'!$C$5:$C$870,'10.Non-elective admissions -HWB'!$D11,'9.Non-elective admissions - Map'!K$5:K$870)</f>
        <v>2392.8959246405234</v>
      </c>
      <c r="H11" s="384">
        <f>SUMIF('9.Non-elective admissions - Map'!$C$5:$C$870,'10.Non-elective admissions -HWB'!$D11,'9.Non-elective admissions - Map'!L$5:L$870)</f>
        <v>2475.1994731892892</v>
      </c>
      <c r="I11" s="384">
        <f>SUMIF('9.Non-elective admissions - Map'!$C$5:$C$870,'10.Non-elective admissions -HWB'!$D11,'9.Non-elective admissions - Map'!M$5:M$870)</f>
        <v>2370.3219166265285</v>
      </c>
      <c r="J11" s="384">
        <f>SUMIF('9.Non-elective admissions - Map'!$C$5:$C$870,'10.Non-elective admissions -HWB'!$D11,'9.Non-elective admissions - Map'!N$5:N$870)</f>
        <v>2423.7792038652137</v>
      </c>
      <c r="K11" s="384">
        <f>SUMIF('9.Non-elective admissions - Map'!$C$5:$C$870,'10.Non-elective admissions -HWB'!$D11,'9.Non-elective admissions - Map'!O$5:O$870)</f>
        <v>2394.0423836907876</v>
      </c>
      <c r="L11" s="384">
        <f>SUMIF('9.Non-elective admissions - Map'!$C$5:$C$870,'10.Non-elective admissions -HWB'!$D11,'9.Non-elective admissions - Map'!P$5:P$870)</f>
        <v>2468.2328135942771</v>
      </c>
      <c r="M11" s="384">
        <f>SUMIF('9.Non-elective admissions - Map'!$C$5:$C$870,'10.Non-elective admissions -HWB'!$D11,'9.Non-elective admissions - Map'!Q$5:Q$870)</f>
        <v>2443.4233867647999</v>
      </c>
      <c r="N11" s="384">
        <f>SUMIF('9.Non-elective admissions - Map'!$C$5:$C$870,'10.Non-elective admissions -HWB'!$D11,'9.Non-elective admissions - Map'!R$5:R$870)</f>
        <v>2304.4644315192168</v>
      </c>
      <c r="O11" s="384">
        <f>SUMIF('9.Non-elective admissions - Map'!$C$5:$C$870,'10.Non-elective admissions -HWB'!$D11,'9.Non-elective admissions - Map'!S$5:S$870)</f>
        <v>2276.3227286221436</v>
      </c>
      <c r="P11" s="384">
        <f>SUMIF('9.Non-elective admissions - Map'!$C$5:$C$870,'10.Non-elective admissions -HWB'!$D11,'9.Non-elective admissions - Map'!T$5:T$870)</f>
        <v>2346.6848770599863</v>
      </c>
      <c r="Q11" s="384">
        <f>SUMIF('9.Non-elective admissions - Map'!$C$5:$C$870,'10.Non-elective admissions -HWB'!$D11,'9.Non-elective admissions - Map'!U$5:U$870)</f>
        <v>2323.1515440523913</v>
      </c>
    </row>
    <row r="12" spans="1:17">
      <c r="A12" s="380" t="s">
        <v>1223</v>
      </c>
      <c r="B12" s="381" t="s">
        <v>935</v>
      </c>
      <c r="C12" s="381" t="s">
        <v>936</v>
      </c>
      <c r="D12" s="381" t="s">
        <v>729</v>
      </c>
      <c r="E12" s="382" t="s">
        <v>303</v>
      </c>
      <c r="F12" s="384">
        <f>SUMIF('9.Non-elective admissions - Map'!$C$5:$C$870,'10.Non-elective admissions -HWB'!$D12,'9.Non-elective admissions - Map'!J$5:J$870)</f>
        <v>4749.0944056144008</v>
      </c>
      <c r="G12" s="384">
        <f>SUMIF('9.Non-elective admissions - Map'!$C$5:$C$870,'10.Non-elective admissions -HWB'!$D12,'9.Non-elective admissions - Map'!K$5:K$870)</f>
        <v>4630.047476482755</v>
      </c>
      <c r="H12" s="384">
        <f>SUMIF('9.Non-elective admissions - Map'!$C$5:$C$870,'10.Non-elective admissions -HWB'!$D12,'9.Non-elective admissions - Map'!L$5:L$870)</f>
        <v>4874.7841697502117</v>
      </c>
      <c r="I12" s="384">
        <f>SUMIF('9.Non-elective admissions - Map'!$C$5:$C$870,'10.Non-elective admissions -HWB'!$D12,'9.Non-elective admissions - Map'!M$5:M$870)</f>
        <v>4505.7493733066422</v>
      </c>
      <c r="J12" s="384">
        <f>SUMIF('9.Non-elective admissions - Map'!$C$5:$C$870,'10.Non-elective admissions -HWB'!$D12,'9.Non-elective admissions - Map'!N$5:N$870)</f>
        <v>4606.6028069147533</v>
      </c>
      <c r="K12" s="384">
        <f>SUMIF('9.Non-elective admissions - Map'!$C$5:$C$870,'10.Non-elective admissions -HWB'!$D12,'9.Non-elective admissions - Map'!O$5:O$870)</f>
        <v>4552.4831132705203</v>
      </c>
      <c r="L12" s="384">
        <f>SUMIF('9.Non-elective admissions - Map'!$C$5:$C$870,'10.Non-elective admissions -HWB'!$D12,'9.Non-elective admissions - Map'!P$5:P$870)</f>
        <v>4691.4848554676519</v>
      </c>
      <c r="M12" s="384">
        <f>SUMIF('9.Non-elective admissions - Map'!$C$5:$C$870,'10.Non-elective admissions -HWB'!$D12,'9.Non-elective admissions - Map'!Q$5:Q$870)</f>
        <v>4690.7745307853002</v>
      </c>
      <c r="N12" s="384">
        <f>SUMIF('9.Non-elective admissions - Map'!$C$5:$C$870,'10.Non-elective admissions -HWB'!$D12,'9.Non-elective admissions - Map'!R$5:R$870)</f>
        <v>4056.2020772058099</v>
      </c>
      <c r="O12" s="384">
        <f>SUMIF('9.Non-elective admissions - Map'!$C$5:$C$870,'10.Non-elective admissions -HWB'!$D12,'9.Non-elective admissions - Map'!S$5:S$870)</f>
        <v>4008.5137653776051</v>
      </c>
      <c r="P12" s="384">
        <f>SUMIF('9.Non-elective admissions - Map'!$C$5:$C$870,'10.Non-elective admissions -HWB'!$D12,'9.Non-elective admissions - Map'!T$5:T$870)</f>
        <v>4129.9820230045243</v>
      </c>
      <c r="Q12" s="384">
        <f>SUMIF('9.Non-elective admissions - Map'!$C$5:$C$870,'10.Non-elective admissions -HWB'!$D12,'9.Non-elective admissions - Map'!U$5:U$870)</f>
        <v>4128.2745893793572</v>
      </c>
    </row>
    <row r="13" spans="1:17">
      <c r="A13" s="380" t="s">
        <v>1223</v>
      </c>
      <c r="B13" s="381" t="s">
        <v>935</v>
      </c>
      <c r="C13" s="381" t="s">
        <v>936</v>
      </c>
      <c r="D13" s="381" t="s">
        <v>750</v>
      </c>
      <c r="E13" s="382" t="s">
        <v>366</v>
      </c>
      <c r="F13" s="384">
        <f>SUMIF('9.Non-elective admissions - Map'!$C$5:$C$870,'10.Non-elective admissions -HWB'!$D13,'9.Non-elective admissions - Map'!J$5:J$870)</f>
        <v>4411.7909055124001</v>
      </c>
      <c r="G13" s="384">
        <f>SUMIF('9.Non-elective admissions - Map'!$C$5:$C$870,'10.Non-elective admissions -HWB'!$D13,'9.Non-elective admissions - Map'!K$5:K$870)</f>
        <v>4299.8393008395724</v>
      </c>
      <c r="H13" s="384">
        <f>SUMIF('9.Non-elective admissions - Map'!$C$5:$C$870,'10.Non-elective admissions -HWB'!$D13,'9.Non-elective admissions - Map'!L$5:L$870)</f>
        <v>4527.6948634560258</v>
      </c>
      <c r="I13" s="384">
        <f>SUMIF('9.Non-elective admissions - Map'!$C$5:$C$870,'10.Non-elective admissions -HWB'!$D13,'9.Non-elective admissions - Map'!M$5:M$870)</f>
        <v>4187.3749589751578</v>
      </c>
      <c r="J13" s="384">
        <f>SUMIF('9.Non-elective admissions - Map'!$C$5:$C$870,'10.Non-elective admissions -HWB'!$D13,'9.Non-elective admissions - Map'!N$5:N$870)</f>
        <v>4277.1216462650455</v>
      </c>
      <c r="K13" s="384">
        <f>SUMIF('9.Non-elective admissions - Map'!$C$5:$C$870,'10.Non-elective admissions -HWB'!$D13,'9.Non-elective admissions - Map'!O$5:O$870)</f>
        <v>4228.6254447038482</v>
      </c>
      <c r="L13" s="384">
        <f>SUMIF('9.Non-elective admissions - Map'!$C$5:$C$870,'10.Non-elective admissions -HWB'!$D13,'9.Non-elective admissions - Map'!P$5:P$870)</f>
        <v>4356.5956896032167</v>
      </c>
      <c r="M13" s="384">
        <f>SUMIF('9.Non-elective admissions - Map'!$C$5:$C$870,'10.Non-elective admissions -HWB'!$D13,'9.Non-elective admissions - Map'!Q$5:Q$870)</f>
        <v>4355.6149526106301</v>
      </c>
      <c r="N13" s="384">
        <f>SUMIF('9.Non-elective admissions - Map'!$C$5:$C$870,'10.Non-elective admissions -HWB'!$D13,'9.Non-elective admissions - Map'!R$5:R$870)</f>
        <v>3769.0880528657531</v>
      </c>
      <c r="O13" s="384">
        <f>SUMIF('9.Non-elective admissions - Map'!$C$5:$C$870,'10.Non-elective admissions -HWB'!$D13,'9.Non-elective admissions - Map'!S$5:S$870)</f>
        <v>3725.3406614473374</v>
      </c>
      <c r="P13" s="384">
        <f>SUMIF('9.Non-elective admissions - Map'!$C$5:$C$870,'10.Non-elective admissions -HWB'!$D13,'9.Non-elective admissions - Map'!T$5:T$870)</f>
        <v>3837.4665151159234</v>
      </c>
      <c r="Q13" s="384">
        <f>SUMIF('9.Non-elective admissions - Map'!$C$5:$C$870,'10.Non-elective admissions -HWB'!$D13,'9.Non-elective admissions - Map'!U$5:U$870)</f>
        <v>3835.6927266262392</v>
      </c>
    </row>
    <row r="14" spans="1:17">
      <c r="A14" s="380" t="s">
        <v>1223</v>
      </c>
      <c r="B14" s="381" t="s">
        <v>935</v>
      </c>
      <c r="C14" s="381" t="s">
        <v>936</v>
      </c>
      <c r="D14" s="381" t="s">
        <v>771</v>
      </c>
      <c r="E14" s="382" t="s">
        <v>429</v>
      </c>
      <c r="F14" s="384">
        <f>SUMIF('9.Non-elective admissions - Map'!$C$5:$C$870,'10.Non-elective admissions -HWB'!$D14,'9.Non-elective admissions - Map'!J$5:J$870)</f>
        <v>5344.6348892634596</v>
      </c>
      <c r="G14" s="384">
        <f>SUMIF('9.Non-elective admissions - Map'!$C$5:$C$870,'10.Non-elective admissions -HWB'!$D14,'9.Non-elective admissions - Map'!K$5:K$870)</f>
        <v>5119.0040280989488</v>
      </c>
      <c r="H14" s="384">
        <f>SUMIF('9.Non-elective admissions - Map'!$C$5:$C$870,'10.Non-elective admissions -HWB'!$D14,'9.Non-elective admissions - Map'!L$5:L$870)</f>
        <v>5296.0808268880837</v>
      </c>
      <c r="I14" s="384">
        <f>SUMIF('9.Non-elective admissions - Map'!$C$5:$C$870,'10.Non-elective admissions -HWB'!$D14,'9.Non-elective admissions - Map'!M$5:M$870)</f>
        <v>5070.8274793174751</v>
      </c>
      <c r="J14" s="384">
        <f>SUMIF('9.Non-elective admissions - Map'!$C$5:$C$870,'10.Non-elective admissions -HWB'!$D14,'9.Non-elective admissions - Map'!N$5:N$870)</f>
        <v>5184.3291513633949</v>
      </c>
      <c r="K14" s="384">
        <f>SUMIF('9.Non-elective admissions - Map'!$C$5:$C$870,'10.Non-elective admissions -HWB'!$D14,'9.Non-elective admissions - Map'!O$5:O$870)</f>
        <v>5120.7368019495807</v>
      </c>
      <c r="L14" s="384">
        <f>SUMIF('9.Non-elective admissions - Map'!$C$5:$C$870,'10.Non-elective admissions -HWB'!$D14,'9.Non-elective admissions - Map'!P$5:P$870)</f>
        <v>5279.2998341374614</v>
      </c>
      <c r="M14" s="384">
        <f>SUMIF('9.Non-elective admissions - Map'!$C$5:$C$870,'10.Non-elective admissions -HWB'!$D14,'9.Non-elective admissions - Map'!Q$5:Q$870)</f>
        <v>5226.7577536807557</v>
      </c>
      <c r="N14" s="384">
        <f>SUMIF('9.Non-elective admissions - Map'!$C$5:$C$870,'10.Non-elective admissions -HWB'!$D14,'9.Non-elective admissions - Map'!R$5:R$870)</f>
        <v>4928.7050396518043</v>
      </c>
      <c r="O14" s="384">
        <f>SUMIF('9.Non-elective admissions - Map'!$C$5:$C$870,'10.Non-elective admissions -HWB'!$D14,'9.Non-elective admissions - Map'!S$5:S$870)</f>
        <v>4868.3007525684061</v>
      </c>
      <c r="P14" s="384">
        <f>SUMIF('9.Non-elective admissions - Map'!$C$5:$C$870,'10.Non-elective admissions -HWB'!$D14,'9.Non-elective admissions - Map'!T$5:T$870)</f>
        <v>5018.7146865687764</v>
      </c>
      <c r="Q14" s="384">
        <f>SUMIF('9.Non-elective admissions - Map'!$C$5:$C$870,'10.Non-elective admissions -HWB'!$D14,'9.Non-elective admissions - Map'!U$5:U$870)</f>
        <v>4968.8859602663988</v>
      </c>
    </row>
    <row r="15" spans="1:17">
      <c r="A15" s="380" t="s">
        <v>1223</v>
      </c>
      <c r="B15" s="381" t="s">
        <v>913</v>
      </c>
      <c r="C15" s="381" t="s">
        <v>914</v>
      </c>
      <c r="D15" s="381" t="s">
        <v>659</v>
      </c>
      <c r="E15" s="382" t="s">
        <v>56</v>
      </c>
      <c r="F15" s="384">
        <f>SUMIF('9.Non-elective admissions - Map'!$C$5:$C$870,'10.Non-elective admissions -HWB'!$D15,'9.Non-elective admissions - Map'!J$5:J$870)</f>
        <v>7911.1417081066156</v>
      </c>
      <c r="G15" s="384">
        <f>SUMIF('9.Non-elective admissions - Map'!$C$5:$C$870,'10.Non-elective admissions -HWB'!$D15,'9.Non-elective admissions - Map'!K$5:K$870)</f>
        <v>7869.711584713179</v>
      </c>
      <c r="H15" s="384">
        <f>SUMIF('9.Non-elective admissions - Map'!$C$5:$C$870,'10.Non-elective admissions -HWB'!$D15,'9.Non-elective admissions - Map'!L$5:L$870)</f>
        <v>8471.2183207803737</v>
      </c>
      <c r="I15" s="384">
        <f>SUMIF('9.Non-elective admissions - Map'!$C$5:$C$870,'10.Non-elective admissions -HWB'!$D15,'9.Non-elective admissions - Map'!M$5:M$870)</f>
        <v>8338.0546966920065</v>
      </c>
      <c r="J15" s="384">
        <f>SUMIF('9.Non-elective admissions - Map'!$C$5:$C$870,'10.Non-elective admissions -HWB'!$D15,'9.Non-elective admissions - Map'!N$5:N$870)</f>
        <v>7748.2139162445064</v>
      </c>
      <c r="K15" s="384">
        <f>SUMIF('9.Non-elective admissions - Map'!$C$5:$C$870,'10.Non-elective admissions -HWB'!$D15,'9.Non-elective admissions - Map'!O$5:O$870)</f>
        <v>7665.1181631845184</v>
      </c>
      <c r="L15" s="384">
        <f>SUMIF('9.Non-elective admissions - Map'!$C$5:$C$870,'10.Non-elective admissions -HWB'!$D15,'9.Non-elective admissions - Map'!P$5:P$870)</f>
        <v>7708.226926194503</v>
      </c>
      <c r="M15" s="384">
        <f>SUMIF('9.Non-elective admissions - Map'!$C$5:$C$870,'10.Non-elective admissions -HWB'!$D15,'9.Non-elective admissions - Map'!Q$5:Q$870)</f>
        <v>6918.8621751272121</v>
      </c>
      <c r="N15" s="384">
        <f>SUMIF('9.Non-elective admissions - Map'!$C$5:$C$870,'10.Non-elective admissions -HWB'!$D15,'9.Non-elective admissions - Map'!R$5:R$870)</f>
        <v>7532.2641360497837</v>
      </c>
      <c r="O15" s="384">
        <f>SUMIF('9.Non-elective admissions - Map'!$C$5:$C$870,'10.Non-elective admissions -HWB'!$D15,'9.Non-elective admissions - Map'!S$5:S$870)</f>
        <v>7446.1679582185552</v>
      </c>
      <c r="P15" s="384">
        <f>SUMIF('9.Non-elective admissions - Map'!$C$5:$C$870,'10.Non-elective admissions -HWB'!$D15,'9.Non-elective admissions - Map'!T$5:T$870)</f>
        <v>7488.103746198648</v>
      </c>
      <c r="Q15" s="384">
        <f>SUMIF('9.Non-elective admissions - Map'!$C$5:$C$870,'10.Non-elective admissions -HWB'!$D15,'9.Non-elective admissions - Map'!U$5:U$870)</f>
        <v>6724.4696659286674</v>
      </c>
    </row>
    <row r="16" spans="1:17">
      <c r="A16" s="380" t="s">
        <v>1223</v>
      </c>
      <c r="B16" s="381" t="s">
        <v>913</v>
      </c>
      <c r="C16" s="381" t="s">
        <v>914</v>
      </c>
      <c r="D16" s="381" t="s">
        <v>668</v>
      </c>
      <c r="E16" s="382" t="s">
        <v>90</v>
      </c>
      <c r="F16" s="384">
        <f>SUMIF('9.Non-elective admissions - Map'!$C$5:$C$870,'10.Non-elective admissions -HWB'!$D16,'9.Non-elective admissions - Map'!J$5:J$870)</f>
        <v>5094.1078037796397</v>
      </c>
      <c r="G16" s="384">
        <f>SUMIF('9.Non-elective admissions - Map'!$C$5:$C$870,'10.Non-elective admissions -HWB'!$D16,'9.Non-elective admissions - Map'!K$5:K$870)</f>
        <v>4918.3707078500493</v>
      </c>
      <c r="H16" s="384">
        <f>SUMIF('9.Non-elective admissions - Map'!$C$5:$C$870,'10.Non-elective admissions -HWB'!$D16,'9.Non-elective admissions - Map'!L$5:L$870)</f>
        <v>5048.3854653441895</v>
      </c>
      <c r="I16" s="384">
        <f>SUMIF('9.Non-elective admissions - Map'!$C$5:$C$870,'10.Non-elective admissions -HWB'!$D16,'9.Non-elective admissions - Map'!M$5:M$870)</f>
        <v>4922.4319714666617</v>
      </c>
      <c r="J16" s="384">
        <f>SUMIF('9.Non-elective admissions - Map'!$C$5:$C$870,'10.Non-elective admissions -HWB'!$D16,'9.Non-elective admissions - Map'!N$5:N$870)</f>
        <v>4999.4745740940052</v>
      </c>
      <c r="K16" s="384">
        <f>SUMIF('9.Non-elective admissions - Map'!$C$5:$C$870,'10.Non-elective admissions -HWB'!$D16,'9.Non-elective admissions - Map'!O$5:O$870)</f>
        <v>4851.7585110099417</v>
      </c>
      <c r="L16" s="384">
        <f>SUMIF('9.Non-elective admissions - Map'!$C$5:$C$870,'10.Non-elective admissions -HWB'!$D16,'9.Non-elective admissions - Map'!P$5:P$870)</f>
        <v>4939.9221421029051</v>
      </c>
      <c r="M16" s="384">
        <f>SUMIF('9.Non-elective admissions - Map'!$C$5:$C$870,'10.Non-elective admissions -HWB'!$D16,'9.Non-elective admissions - Map'!Q$5:Q$870)</f>
        <v>5055.5530379781667</v>
      </c>
      <c r="N16" s="384">
        <f>SUMIF('9.Non-elective admissions - Map'!$C$5:$C$870,'10.Non-elective admissions -HWB'!$D16,'9.Non-elective admissions - Map'!R$5:R$870)</f>
        <v>4335.7915498573402</v>
      </c>
      <c r="O16" s="384">
        <f>SUMIF('9.Non-elective admissions - Map'!$C$5:$C$870,'10.Non-elective admissions -HWB'!$D16,'9.Non-elective admissions - Map'!S$5:S$870)</f>
        <v>4206.4449402390028</v>
      </c>
      <c r="P16" s="384">
        <f>SUMIF('9.Non-elective admissions - Map'!$C$5:$C$870,'10.Non-elective admissions -HWB'!$D16,'9.Non-elective admissions - Map'!T$5:T$870)</f>
        <v>4274.6290846874426</v>
      </c>
      <c r="Q16" s="384">
        <f>SUMIF('9.Non-elective admissions - Map'!$C$5:$C$870,'10.Non-elective admissions -HWB'!$D16,'9.Non-elective admissions - Map'!U$5:U$870)</f>
        <v>4402.4367194552869</v>
      </c>
    </row>
    <row r="17" spans="1:17">
      <c r="A17" s="380" t="s">
        <v>1223</v>
      </c>
      <c r="B17" s="381" t="s">
        <v>913</v>
      </c>
      <c r="C17" s="381" t="s">
        <v>914</v>
      </c>
      <c r="D17" s="381" t="s">
        <v>726</v>
      </c>
      <c r="E17" s="382" t="s">
        <v>294</v>
      </c>
      <c r="F17" s="384">
        <f>SUMIF('9.Non-elective admissions - Map'!$C$5:$C$870,'10.Non-elective admissions -HWB'!$D17,'9.Non-elective admissions - Map'!J$5:J$870)</f>
        <v>15070.209835088261</v>
      </c>
      <c r="G17" s="384">
        <f>SUMIF('9.Non-elective admissions - Map'!$C$5:$C$870,'10.Non-elective admissions -HWB'!$D17,'9.Non-elective admissions - Map'!K$5:K$870)</f>
        <v>14934.553177337948</v>
      </c>
      <c r="H17" s="384">
        <f>SUMIF('9.Non-elective admissions - Map'!$C$5:$C$870,'10.Non-elective admissions -HWB'!$D17,'9.Non-elective admissions - Map'!L$5:L$870)</f>
        <v>15764.632209959571</v>
      </c>
      <c r="I17" s="384">
        <f>SUMIF('9.Non-elective admissions - Map'!$C$5:$C$870,'10.Non-elective admissions -HWB'!$D17,'9.Non-elective admissions - Map'!M$5:M$870)</f>
        <v>15545.87333801551</v>
      </c>
      <c r="J17" s="384">
        <f>SUMIF('9.Non-elective admissions - Map'!$C$5:$C$870,'10.Non-elective admissions -HWB'!$D17,'9.Non-elective admissions - Map'!N$5:N$870)</f>
        <v>14744.80969042472</v>
      </c>
      <c r="K17" s="384">
        <f>SUMIF('9.Non-elective admissions - Map'!$C$5:$C$870,'10.Non-elective admissions -HWB'!$D17,'9.Non-elective admissions - Map'!O$5:O$870)</f>
        <v>14698.559608939922</v>
      </c>
      <c r="L17" s="384">
        <f>SUMIF('9.Non-elective admissions - Map'!$C$5:$C$870,'10.Non-elective admissions -HWB'!$D17,'9.Non-elective admissions - Map'!P$5:P$870)</f>
        <v>15497.144828014436</v>
      </c>
      <c r="M17" s="384">
        <f>SUMIF('9.Non-elective admissions - Map'!$C$5:$C$870,'10.Non-elective admissions -HWB'!$D17,'9.Non-elective admissions - Map'!Q$5:Q$870)</f>
        <v>15005.534693639227</v>
      </c>
      <c r="N17" s="384">
        <f>SUMIF('9.Non-elective admissions - Map'!$C$5:$C$870,'10.Non-elective admissions -HWB'!$D17,'9.Non-elective admissions - Map'!R$5:R$870)</f>
        <v>14055.394947931491</v>
      </c>
      <c r="O17" s="384">
        <f>SUMIF('9.Non-elective admissions - Map'!$C$5:$C$870,'10.Non-elective admissions -HWB'!$D17,'9.Non-elective admissions - Map'!S$5:S$870)</f>
        <v>14031.984901815553</v>
      </c>
      <c r="P17" s="384">
        <f>SUMIF('9.Non-elective admissions - Map'!$C$5:$C$870,'10.Non-elective admissions -HWB'!$D17,'9.Non-elective admissions - Map'!T$5:T$870)</f>
        <v>14785.61245970448</v>
      </c>
      <c r="Q17" s="384">
        <f>SUMIF('9.Non-elective admissions - Map'!$C$5:$C$870,'10.Non-elective admissions -HWB'!$D17,'9.Non-elective admissions - Map'!U$5:U$870)</f>
        <v>14305.433446505191</v>
      </c>
    </row>
    <row r="18" spans="1:17">
      <c r="A18" s="380" t="s">
        <v>1223</v>
      </c>
      <c r="B18" s="381" t="s">
        <v>913</v>
      </c>
      <c r="C18" s="381" t="s">
        <v>914</v>
      </c>
      <c r="D18" s="381" t="s">
        <v>743</v>
      </c>
      <c r="E18" s="382" t="s">
        <v>345</v>
      </c>
      <c r="F18" s="384">
        <f>SUMIF('9.Non-elective admissions - Map'!$C$5:$C$870,'10.Non-elective admissions -HWB'!$D18,'9.Non-elective admissions - Map'!J$5:J$870)</f>
        <v>7110.7176754852535</v>
      </c>
      <c r="G18" s="384">
        <f>SUMIF('9.Non-elective admissions - Map'!$C$5:$C$870,'10.Non-elective admissions -HWB'!$D18,'9.Non-elective admissions - Map'!K$5:K$870)</f>
        <v>7013.1653584598389</v>
      </c>
      <c r="H18" s="384">
        <f>SUMIF('9.Non-elective admissions - Map'!$C$5:$C$870,'10.Non-elective admissions -HWB'!$D18,'9.Non-elective admissions - Map'!L$5:L$870)</f>
        <v>7276.9275873467914</v>
      </c>
      <c r="I18" s="384">
        <f>SUMIF('9.Non-elective admissions - Map'!$C$5:$C$870,'10.Non-elective admissions -HWB'!$D18,'9.Non-elective admissions - Map'!M$5:M$870)</f>
        <v>7329.7753299342594</v>
      </c>
      <c r="J18" s="384">
        <f>SUMIF('9.Non-elective admissions - Map'!$C$5:$C$870,'10.Non-elective admissions -HWB'!$D18,'9.Non-elective admissions - Map'!N$5:N$870)</f>
        <v>6945.7139947344003</v>
      </c>
      <c r="K18" s="384">
        <f>SUMIF('9.Non-elective admissions - Map'!$C$5:$C$870,'10.Non-elective admissions -HWB'!$D18,'9.Non-elective admissions - Map'!O$5:O$870)</f>
        <v>6907.2384361059003</v>
      </c>
      <c r="L18" s="384">
        <f>SUMIF('9.Non-elective admissions - Map'!$C$5:$C$870,'10.Non-elective admissions -HWB'!$D18,'9.Non-elective admissions - Map'!P$5:P$870)</f>
        <v>7248.672793276186</v>
      </c>
      <c r="M18" s="384">
        <f>SUMIF('9.Non-elective admissions - Map'!$C$5:$C$870,'10.Non-elective admissions -HWB'!$D18,'9.Non-elective admissions - Map'!Q$5:Q$870)</f>
        <v>6895.5426818769538</v>
      </c>
      <c r="N18" s="384">
        <f>SUMIF('9.Non-elective admissions - Map'!$C$5:$C$870,'10.Non-elective admissions -HWB'!$D18,'9.Non-elective admissions - Map'!R$5:R$870)</f>
        <v>6940.2498831987832</v>
      </c>
      <c r="O18" s="384">
        <f>SUMIF('9.Non-elective admissions - Map'!$C$5:$C$870,'10.Non-elective admissions -HWB'!$D18,'9.Non-elective admissions - Map'!S$5:S$870)</f>
        <v>7013.5043075763806</v>
      </c>
      <c r="P18" s="384">
        <f>SUMIF('9.Non-elective admissions - Map'!$C$5:$C$870,'10.Non-elective admissions -HWB'!$D18,'9.Non-elective admissions - Map'!T$5:T$870)</f>
        <v>7023.6669572196079</v>
      </c>
      <c r="Q18" s="384">
        <f>SUMIF('9.Non-elective admissions - Map'!$C$5:$C$870,'10.Non-elective admissions -HWB'!$D18,'9.Non-elective admissions - Map'!U$5:U$870)</f>
        <v>6938.7804133798236</v>
      </c>
    </row>
    <row r="19" spans="1:17">
      <c r="A19" s="380" t="s">
        <v>1223</v>
      </c>
      <c r="B19" s="381" t="s">
        <v>913</v>
      </c>
      <c r="C19" s="381" t="s">
        <v>914</v>
      </c>
      <c r="D19" s="381" t="s">
        <v>752</v>
      </c>
      <c r="E19" s="382" t="s">
        <v>372</v>
      </c>
      <c r="F19" s="384">
        <f>SUMIF('9.Non-elective admissions - Map'!$C$5:$C$870,'10.Non-elective admissions -HWB'!$D19,'9.Non-elective admissions - Map'!J$5:J$870)</f>
        <v>6502.7482369597774</v>
      </c>
      <c r="G19" s="384">
        <f>SUMIF('9.Non-elective admissions - Map'!$C$5:$C$870,'10.Non-elective admissions -HWB'!$D19,'9.Non-elective admissions - Map'!K$5:K$870)</f>
        <v>6333.8376543261611</v>
      </c>
      <c r="H19" s="384">
        <f>SUMIF('9.Non-elective admissions - Map'!$C$5:$C$870,'10.Non-elective admissions -HWB'!$D19,'9.Non-elective admissions - Map'!L$5:L$870)</f>
        <v>6632.0606140357659</v>
      </c>
      <c r="I19" s="384">
        <f>SUMIF('9.Non-elective admissions - Map'!$C$5:$C$870,'10.Non-elective admissions -HWB'!$D19,'9.Non-elective admissions - Map'!M$5:M$870)</f>
        <v>6808.956962356503</v>
      </c>
      <c r="J19" s="384">
        <f>SUMIF('9.Non-elective admissions - Map'!$C$5:$C$870,'10.Non-elective admissions -HWB'!$D19,'9.Non-elective admissions - Map'!N$5:N$870)</f>
        <v>6271.2753975467949</v>
      </c>
      <c r="K19" s="384">
        <f>SUMIF('9.Non-elective admissions - Map'!$C$5:$C$870,'10.Non-elective admissions -HWB'!$D19,'9.Non-elective admissions - Map'!O$5:O$870)</f>
        <v>6147.450533700654</v>
      </c>
      <c r="L19" s="384">
        <f>SUMIF('9.Non-elective admissions - Map'!$C$5:$C$870,'10.Non-elective admissions -HWB'!$D19,'9.Non-elective admissions - Map'!P$5:P$870)</f>
        <v>6431.6614377890255</v>
      </c>
      <c r="M19" s="384">
        <f>SUMIF('9.Non-elective admissions - Map'!$C$5:$C$870,'10.Non-elective admissions -HWB'!$D19,'9.Non-elective admissions - Map'!Q$5:Q$870)</f>
        <v>5890.3705165368528</v>
      </c>
      <c r="N19" s="384">
        <f>SUMIF('9.Non-elective admissions - Map'!$C$5:$C$870,'10.Non-elective admissions -HWB'!$D19,'9.Non-elective admissions - Map'!R$5:R$870)</f>
        <v>5957.1860163637502</v>
      </c>
      <c r="O19" s="384">
        <f>SUMIF('9.Non-elective admissions - Map'!$C$5:$C$870,'10.Non-elective admissions -HWB'!$D19,'9.Non-elective admissions - Map'!S$5:S$870)</f>
        <v>5895.1067248832096</v>
      </c>
      <c r="P19" s="384">
        <f>SUMIF('9.Non-elective admissions - Map'!$C$5:$C$870,'10.Non-elective admissions -HWB'!$D19,'9.Non-elective admissions - Map'!T$5:T$870)</f>
        <v>6123.3150676931746</v>
      </c>
      <c r="Q19" s="384">
        <f>SUMIF('9.Non-elective admissions - Map'!$C$5:$C$870,'10.Non-elective admissions -HWB'!$D19,'9.Non-elective admissions - Map'!U$5:U$870)</f>
        <v>5615.4754031238535</v>
      </c>
    </row>
    <row r="20" spans="1:17">
      <c r="A20" s="380" t="s">
        <v>1223</v>
      </c>
      <c r="B20" s="381" t="s">
        <v>913</v>
      </c>
      <c r="C20" s="381" t="s">
        <v>914</v>
      </c>
      <c r="D20" s="381" t="s">
        <v>755</v>
      </c>
      <c r="E20" s="382" t="s">
        <v>381</v>
      </c>
      <c r="F20" s="384">
        <f>SUMIF('9.Non-elective admissions - Map'!$C$5:$C$870,'10.Non-elective admissions -HWB'!$D20,'9.Non-elective admissions - Map'!J$5:J$870)</f>
        <v>7917.6335501579324</v>
      </c>
      <c r="G20" s="384">
        <f>SUMIF('9.Non-elective admissions - Map'!$C$5:$C$870,'10.Non-elective admissions -HWB'!$D20,'9.Non-elective admissions - Map'!K$5:K$870)</f>
        <v>7819.1264359294373</v>
      </c>
      <c r="H20" s="384">
        <f>SUMIF('9.Non-elective admissions - Map'!$C$5:$C$870,'10.Non-elective admissions -HWB'!$D20,'9.Non-elective admissions - Map'!L$5:L$870)</f>
        <v>8434.6737994264422</v>
      </c>
      <c r="I20" s="384">
        <f>SUMIF('9.Non-elective admissions - Map'!$C$5:$C$870,'10.Non-elective admissions -HWB'!$D20,'9.Non-elective admissions - Map'!M$5:M$870)</f>
        <v>8215.8549165159657</v>
      </c>
      <c r="J20" s="384">
        <f>SUMIF('9.Non-elective admissions - Map'!$C$5:$C$870,'10.Non-elective admissions -HWB'!$D20,'9.Non-elective admissions - Map'!N$5:N$870)</f>
        <v>6790.1112158480028</v>
      </c>
      <c r="K20" s="384">
        <f>SUMIF('9.Non-elective admissions - Map'!$C$5:$C$870,'10.Non-elective admissions -HWB'!$D20,'9.Non-elective admissions - Map'!O$5:O$870)</f>
        <v>6974.6654056498319</v>
      </c>
      <c r="L20" s="384">
        <f>SUMIF('9.Non-elective admissions - Map'!$C$5:$C$870,'10.Non-elective admissions -HWB'!$D20,'9.Non-elective admissions - Map'!P$5:P$870)</f>
        <v>7283.6639128706038</v>
      </c>
      <c r="M20" s="384">
        <f>SUMIF('9.Non-elective admissions - Map'!$C$5:$C$870,'10.Non-elective admissions -HWB'!$D20,'9.Non-elective admissions - Map'!Q$5:Q$870)</f>
        <v>7435.1504109224479</v>
      </c>
      <c r="N20" s="384">
        <f>SUMIF('9.Non-elective admissions - Map'!$C$5:$C$870,'10.Non-elective admissions -HWB'!$D20,'9.Non-elective admissions - Map'!R$5:R$870)</f>
        <v>6737.3553733453382</v>
      </c>
      <c r="O20" s="384">
        <f>SUMIF('9.Non-elective admissions - Map'!$C$5:$C$870,'10.Non-elective admissions -HWB'!$D20,'9.Non-elective admissions - Map'!S$5:S$870)</f>
        <v>6867.3284069173878</v>
      </c>
      <c r="P20" s="384">
        <f>SUMIF('9.Non-elective admissions - Map'!$C$5:$C$870,'10.Non-elective admissions -HWB'!$D20,'9.Non-elective admissions - Map'!T$5:T$870)</f>
        <v>7190.0846567492872</v>
      </c>
      <c r="Q20" s="384">
        <f>SUMIF('9.Non-elective admissions - Map'!$C$5:$C$870,'10.Non-elective admissions -HWB'!$D20,'9.Non-elective admissions - Map'!U$5:U$870)</f>
        <v>7378.2605311593588</v>
      </c>
    </row>
    <row r="21" spans="1:17">
      <c r="A21" s="380" t="s">
        <v>1223</v>
      </c>
      <c r="B21" s="381" t="s">
        <v>913</v>
      </c>
      <c r="C21" s="381" t="s">
        <v>914</v>
      </c>
      <c r="D21" s="381" t="s">
        <v>770</v>
      </c>
      <c r="E21" s="382" t="s">
        <v>426</v>
      </c>
      <c r="F21" s="384">
        <f>SUMIF('9.Non-elective admissions - Map'!$C$5:$C$870,'10.Non-elective admissions -HWB'!$D21,'9.Non-elective admissions - Map'!J$5:J$870)</f>
        <v>9508.6028681757052</v>
      </c>
      <c r="G21" s="384">
        <f>SUMIF('9.Non-elective admissions - Map'!$C$5:$C$870,'10.Non-elective admissions -HWB'!$D21,'9.Non-elective admissions - Map'!K$5:K$870)</f>
        <v>9385.5479321126058</v>
      </c>
      <c r="H21" s="384">
        <f>SUMIF('9.Non-elective admissions - Map'!$C$5:$C$870,'10.Non-elective admissions -HWB'!$D21,'9.Non-elective admissions - Map'!L$5:L$870)</f>
        <v>9691.1718550000005</v>
      </c>
      <c r="I21" s="384">
        <f>SUMIF('9.Non-elective admissions - Map'!$C$5:$C$870,'10.Non-elective admissions -HWB'!$D21,'9.Non-elective admissions - Map'!M$5:M$870)</f>
        <v>9400.5599026463151</v>
      </c>
      <c r="J21" s="384">
        <f>SUMIF('9.Non-elective admissions - Map'!$C$5:$C$870,'10.Non-elective admissions -HWB'!$D21,'9.Non-elective admissions - Map'!N$5:N$870)</f>
        <v>8090.722483045939</v>
      </c>
      <c r="K21" s="384">
        <f>SUMIF('9.Non-elective admissions - Map'!$C$5:$C$870,'10.Non-elective admissions -HWB'!$D21,'9.Non-elective admissions - Map'!O$5:O$870)</f>
        <v>8224.8964170216714</v>
      </c>
      <c r="L21" s="384">
        <f>SUMIF('9.Non-elective admissions - Map'!$C$5:$C$870,'10.Non-elective admissions -HWB'!$D21,'9.Non-elective admissions - Map'!P$5:P$870)</f>
        <v>8520.4171346685052</v>
      </c>
      <c r="M21" s="384">
        <f>SUMIF('9.Non-elective admissions - Map'!$C$5:$C$870,'10.Non-elective admissions -HWB'!$D21,'9.Non-elective admissions - Map'!Q$5:Q$870)</f>
        <v>8434.759674646155</v>
      </c>
      <c r="N21" s="384">
        <f>SUMIF('9.Non-elective admissions - Map'!$C$5:$C$870,'10.Non-elective admissions -HWB'!$D21,'9.Non-elective admissions - Map'!R$5:R$870)</f>
        <v>7300.89595843399</v>
      </c>
      <c r="O21" s="384">
        <f>SUMIF('9.Non-elective admissions - Map'!$C$5:$C$870,'10.Non-elective admissions -HWB'!$D21,'9.Non-elective admissions - Map'!S$5:S$870)</f>
        <v>7421.9547250780251</v>
      </c>
      <c r="P21" s="384">
        <f>SUMIF('9.Non-elective admissions - Map'!$C$5:$C$870,'10.Non-elective admissions -HWB'!$D21,'9.Non-elective admissions - Map'!T$5:T$870)</f>
        <v>7688.6602876714933</v>
      </c>
      <c r="Q21" s="384">
        <f>SUMIF('9.Non-elective admissions - Map'!$C$5:$C$870,'10.Non-elective admissions -HWB'!$D21,'9.Non-elective admissions - Map'!U$5:U$870)</f>
        <v>7610.6980536045294</v>
      </c>
    </row>
    <row r="22" spans="1:17">
      <c r="A22" s="380" t="s">
        <v>1223</v>
      </c>
      <c r="B22" s="381" t="s">
        <v>913</v>
      </c>
      <c r="C22" s="381" t="s">
        <v>914</v>
      </c>
      <c r="D22" s="381" t="s">
        <v>778</v>
      </c>
      <c r="E22" s="382" t="s">
        <v>450</v>
      </c>
      <c r="F22" s="384">
        <f>SUMIF('9.Non-elective admissions - Map'!$C$5:$C$870,'10.Non-elective admissions -HWB'!$D22,'9.Non-elective admissions - Map'!J$5:J$870)</f>
        <v>6861.1721342443907</v>
      </c>
      <c r="G22" s="384">
        <f>SUMIF('9.Non-elective admissions - Map'!$C$5:$C$870,'10.Non-elective admissions -HWB'!$D22,'9.Non-elective admissions - Map'!K$5:K$870)</f>
        <v>6808.9629967939418</v>
      </c>
      <c r="H22" s="384">
        <f>SUMIF('9.Non-elective admissions - Map'!$C$5:$C$870,'10.Non-elective admissions -HWB'!$D22,'9.Non-elective admissions - Map'!L$5:L$870)</f>
        <v>7261.5781686757618</v>
      </c>
      <c r="I22" s="384">
        <f>SUMIF('9.Non-elective admissions - Map'!$C$5:$C$870,'10.Non-elective admissions -HWB'!$D22,'9.Non-elective admissions - Map'!M$5:M$870)</f>
        <v>6910.9486467908628</v>
      </c>
      <c r="J22" s="384">
        <f>SUMIF('9.Non-elective admissions - Map'!$C$5:$C$870,'10.Non-elective admissions -HWB'!$D22,'9.Non-elective admissions - Map'!N$5:N$870)</f>
        <v>6672.5944086645532</v>
      </c>
      <c r="K22" s="384">
        <f>SUMIF('9.Non-elective admissions - Map'!$C$5:$C$870,'10.Non-elective admissions -HWB'!$D22,'9.Non-elective admissions - Map'!O$5:O$870)</f>
        <v>6627.0069416624383</v>
      </c>
      <c r="L22" s="384">
        <f>SUMIF('9.Non-elective admissions - Map'!$C$5:$C$870,'10.Non-elective admissions -HWB'!$D22,'9.Non-elective admissions - Map'!P$5:P$870)</f>
        <v>6639.6745763098743</v>
      </c>
      <c r="M22" s="384">
        <f>SUMIF('9.Non-elective admissions - Map'!$C$5:$C$870,'10.Non-elective admissions -HWB'!$D22,'9.Non-elective admissions - Map'!Q$5:Q$870)</f>
        <v>6631.4873334568974</v>
      </c>
      <c r="N22" s="384">
        <f>SUMIF('9.Non-elective admissions - Map'!$C$5:$C$870,'10.Non-elective admissions -HWB'!$D22,'9.Non-elective admissions - Map'!R$5:R$870)</f>
        <v>6867.3619664480975</v>
      </c>
      <c r="O22" s="384">
        <f>SUMIF('9.Non-elective admissions - Map'!$C$5:$C$870,'10.Non-elective admissions -HWB'!$D22,'9.Non-elective admissions - Map'!S$5:S$870)</f>
        <v>6824.419430125763</v>
      </c>
      <c r="P22" s="384">
        <f>SUMIF('9.Non-elective admissions - Map'!$C$5:$C$870,'10.Non-elective admissions -HWB'!$D22,'9.Non-elective admissions - Map'!T$5:T$870)</f>
        <v>6822.587821178824</v>
      </c>
      <c r="Q22" s="384">
        <f>SUMIF('9.Non-elective admissions - Map'!$C$5:$C$870,'10.Non-elective admissions -HWB'!$D22,'9.Non-elective admissions - Map'!U$5:U$870)</f>
        <v>6825.3161312332113</v>
      </c>
    </row>
    <row r="23" spans="1:17">
      <c r="A23" s="380" t="s">
        <v>1223</v>
      </c>
      <c r="B23" s="381" t="s">
        <v>913</v>
      </c>
      <c r="C23" s="381" t="s">
        <v>914</v>
      </c>
      <c r="D23" s="381" t="s">
        <v>783</v>
      </c>
      <c r="E23" s="382" t="s">
        <v>465</v>
      </c>
      <c r="F23" s="384">
        <f>SUMIF('9.Non-elective admissions - Map'!$C$5:$C$870,'10.Non-elective admissions -HWB'!$D23,'9.Non-elective admissions - Map'!J$5:J$870)</f>
        <v>5854.9366294849615</v>
      </c>
      <c r="G23" s="384">
        <f>SUMIF('9.Non-elective admissions - Map'!$C$5:$C$870,'10.Non-elective admissions -HWB'!$D23,'9.Non-elective admissions - Map'!K$5:K$870)</f>
        <v>5865.9909188244119</v>
      </c>
      <c r="H23" s="384">
        <f>SUMIF('9.Non-elective admissions - Map'!$C$5:$C$870,'10.Non-elective admissions -HWB'!$D23,'9.Non-elective admissions - Map'!L$5:L$870)</f>
        <v>6062.528499520653</v>
      </c>
      <c r="I23" s="384">
        <f>SUMIF('9.Non-elective admissions - Map'!$C$5:$C$870,'10.Non-elective admissions -HWB'!$D23,'9.Non-elective admissions - Map'!M$5:M$870)</f>
        <v>5713.6805328830796</v>
      </c>
      <c r="J23" s="384">
        <f>SUMIF('9.Non-elective admissions - Map'!$C$5:$C$870,'10.Non-elective admissions -HWB'!$D23,'9.Non-elective admissions - Map'!N$5:N$870)</f>
        <v>5202.4370960974438</v>
      </c>
      <c r="K23" s="384">
        <f>SUMIF('9.Non-elective admissions - Map'!$C$5:$C$870,'10.Non-elective admissions -HWB'!$D23,'9.Non-elective admissions - Map'!O$5:O$870)</f>
        <v>5213.8431241975013</v>
      </c>
      <c r="L23" s="384">
        <f>SUMIF('9.Non-elective admissions - Map'!$C$5:$C$870,'10.Non-elective admissions -HWB'!$D23,'9.Non-elective admissions - Map'!P$5:P$870)</f>
        <v>5232.1705049655684</v>
      </c>
      <c r="M23" s="384">
        <f>SUMIF('9.Non-elective admissions - Map'!$C$5:$C$870,'10.Non-elective admissions -HWB'!$D23,'9.Non-elective admissions - Map'!Q$5:Q$870)</f>
        <v>5183.7186099252403</v>
      </c>
      <c r="N23" s="384">
        <f>SUMIF('9.Non-elective admissions - Map'!$C$5:$C$870,'10.Non-elective admissions -HWB'!$D23,'9.Non-elective admissions - Map'!R$5:R$870)</f>
        <v>4761.1445573856845</v>
      </c>
      <c r="O23" s="384">
        <f>SUMIF('9.Non-elective admissions - Map'!$C$5:$C$870,'10.Non-elective admissions -HWB'!$D23,'9.Non-elective admissions - Map'!S$5:S$870)</f>
        <v>4773.4394142255069</v>
      </c>
      <c r="P23" s="384">
        <f>SUMIF('9.Non-elective admissions - Map'!$C$5:$C$870,'10.Non-elective admissions -HWB'!$D23,'9.Non-elective admissions - Map'!T$5:T$870)</f>
        <v>4790.1561603974878</v>
      </c>
      <c r="Q23" s="384">
        <f>SUMIF('9.Non-elective admissions - Map'!$C$5:$C$870,'10.Non-elective admissions -HWB'!$D23,'9.Non-elective admissions - Map'!U$5:U$870)</f>
        <v>4742.089785479583</v>
      </c>
    </row>
    <row r="24" spans="1:17">
      <c r="A24" s="380" t="s">
        <v>1223</v>
      </c>
      <c r="B24" s="381" t="s">
        <v>913</v>
      </c>
      <c r="C24" s="381" t="s">
        <v>914</v>
      </c>
      <c r="D24" s="381" t="s">
        <v>793</v>
      </c>
      <c r="E24" s="382" t="s">
        <v>495</v>
      </c>
      <c r="F24" s="384">
        <f>SUMIF('9.Non-elective admissions - Map'!$C$5:$C$870,'10.Non-elective admissions -HWB'!$D24,'9.Non-elective admissions - Map'!J$5:J$870)</f>
        <v>8491.2239978409434</v>
      </c>
      <c r="G24" s="384">
        <f>SUMIF('9.Non-elective admissions - Map'!$C$5:$C$870,'10.Non-elective admissions -HWB'!$D24,'9.Non-elective admissions - Map'!K$5:K$870)</f>
        <v>8443.5964228394132</v>
      </c>
      <c r="H24" s="384">
        <f>SUMIF('9.Non-elective admissions - Map'!$C$5:$C$870,'10.Non-elective admissions -HWB'!$D24,'9.Non-elective admissions - Map'!L$5:L$870)</f>
        <v>8478.9521212762047</v>
      </c>
      <c r="I24" s="384">
        <f>SUMIF('9.Non-elective admissions - Map'!$C$5:$C$870,'10.Non-elective admissions -HWB'!$D24,'9.Non-elective admissions - Map'!M$5:M$870)</f>
        <v>8314.5392306932772</v>
      </c>
      <c r="J24" s="384">
        <f>SUMIF('9.Non-elective admissions - Map'!$C$5:$C$870,'10.Non-elective admissions -HWB'!$D24,'9.Non-elective admissions - Map'!N$5:N$870)</f>
        <v>8123.1631546503904</v>
      </c>
      <c r="K24" s="384">
        <f>SUMIF('9.Non-elective admissions - Map'!$C$5:$C$870,'10.Non-elective admissions -HWB'!$D24,'9.Non-elective admissions - Map'!O$5:O$870)</f>
        <v>8084.0359049675208</v>
      </c>
      <c r="L24" s="384">
        <f>SUMIF('9.Non-elective admissions - Map'!$C$5:$C$870,'10.Non-elective admissions -HWB'!$D24,'9.Non-elective admissions - Map'!P$5:P$870)</f>
        <v>8106.499438517254</v>
      </c>
      <c r="M24" s="384">
        <f>SUMIF('9.Non-elective admissions - Map'!$C$5:$C$870,'10.Non-elective admissions -HWB'!$D24,'9.Non-elective admissions - Map'!Q$5:Q$870)</f>
        <v>7953.0963457934722</v>
      </c>
      <c r="N24" s="384">
        <f>SUMIF('9.Non-elective admissions - Map'!$C$5:$C$870,'10.Non-elective admissions -HWB'!$D24,'9.Non-elective admissions - Map'!R$5:R$870)</f>
        <v>7988.6145855840623</v>
      </c>
      <c r="O24" s="384">
        <f>SUMIF('9.Non-elective admissions - Map'!$C$5:$C$870,'10.Non-elective admissions -HWB'!$D24,'9.Non-elective admissions - Map'!S$5:S$870)</f>
        <v>7950.096742438539</v>
      </c>
      <c r="P24" s="384">
        <f>SUMIF('9.Non-elective admissions - Map'!$C$5:$C$870,'10.Non-elective admissions -HWB'!$D24,'9.Non-elective admissions - Map'!T$5:T$870)</f>
        <v>7970.9073710329349</v>
      </c>
      <c r="Q24" s="384">
        <f>SUMIF('9.Non-elective admissions - Map'!$C$5:$C$870,'10.Non-elective admissions -HWB'!$D24,'9.Non-elective admissions - Map'!U$5:U$870)</f>
        <v>7820.8295445893837</v>
      </c>
    </row>
    <row r="25" spans="1:17">
      <c r="A25" s="380" t="s">
        <v>1223</v>
      </c>
      <c r="B25" s="381" t="s">
        <v>911</v>
      </c>
      <c r="C25" s="381" t="s">
        <v>912</v>
      </c>
      <c r="D25" s="381" t="s">
        <v>657</v>
      </c>
      <c r="E25" s="382" t="s">
        <v>48</v>
      </c>
      <c r="F25" s="384">
        <f>SUMIF('9.Non-elective admissions - Map'!$C$5:$C$870,'10.Non-elective admissions -HWB'!$D25,'9.Non-elective admissions - Map'!J$5:J$870)</f>
        <v>4838.8146045743579</v>
      </c>
      <c r="G25" s="384">
        <f>SUMIF('9.Non-elective admissions - Map'!$C$5:$C$870,'10.Non-elective admissions -HWB'!$D25,'9.Non-elective admissions - Map'!K$5:K$870)</f>
        <v>4546.8064171475662</v>
      </c>
      <c r="H25" s="384">
        <f>SUMIF('9.Non-elective admissions - Map'!$C$5:$C$870,'10.Non-elective admissions -HWB'!$D25,'9.Non-elective admissions - Map'!L$5:L$870)</f>
        <v>4646.3869372059553</v>
      </c>
      <c r="I25" s="384">
        <f>SUMIF('9.Non-elective admissions - Map'!$C$5:$C$870,'10.Non-elective admissions -HWB'!$D25,'9.Non-elective admissions - Map'!M$5:M$870)</f>
        <v>4920.0678528825192</v>
      </c>
      <c r="J25" s="384">
        <f>SUMIF('9.Non-elective admissions - Map'!$C$5:$C$870,'10.Non-elective admissions -HWB'!$D25,'9.Non-elective admissions - Map'!N$5:N$870)</f>
        <v>4601.4094686741628</v>
      </c>
      <c r="K25" s="384">
        <f>SUMIF('9.Non-elective admissions - Map'!$C$5:$C$870,'10.Non-elective admissions -HWB'!$D25,'9.Non-elective admissions - Map'!O$5:O$870)</f>
        <v>4571.3072815005507</v>
      </c>
      <c r="L25" s="384">
        <f>SUMIF('9.Non-elective admissions - Map'!$C$5:$C$870,'10.Non-elective admissions -HWB'!$D25,'9.Non-elective admissions - Map'!P$5:P$870)</f>
        <v>4609.6348832892691</v>
      </c>
      <c r="M25" s="384">
        <f>SUMIF('9.Non-elective admissions - Map'!$C$5:$C$870,'10.Non-elective admissions -HWB'!$D25,'9.Non-elective admissions - Map'!Q$5:Q$870)</f>
        <v>4633.6225650468823</v>
      </c>
      <c r="N25" s="384">
        <f>SUMIF('9.Non-elective admissions - Map'!$C$5:$C$870,'10.Non-elective admissions -HWB'!$D25,'9.Non-elective admissions - Map'!R$5:R$870)</f>
        <v>4608.1614575320664</v>
      </c>
      <c r="O25" s="384">
        <f>SUMIF('9.Non-elective admissions - Map'!$C$5:$C$870,'10.Non-elective admissions -HWB'!$D25,'9.Non-elective admissions - Map'!S$5:S$870)</f>
        <v>4577.0784631427814</v>
      </c>
      <c r="P25" s="384">
        <f>SUMIF('9.Non-elective admissions - Map'!$C$5:$C$870,'10.Non-elective admissions -HWB'!$D25,'9.Non-elective admissions - Map'!T$5:T$870)</f>
        <v>4616.2859145328084</v>
      </c>
      <c r="Q25" s="384">
        <f>SUMIF('9.Non-elective admissions - Map'!$C$5:$C$870,'10.Non-elective admissions -HWB'!$D25,'9.Non-elective admissions - Map'!U$5:U$870)</f>
        <v>4640.7936208936298</v>
      </c>
    </row>
    <row r="26" spans="1:17">
      <c r="A26" s="380" t="s">
        <v>1223</v>
      </c>
      <c r="B26" s="381" t="s">
        <v>911</v>
      </c>
      <c r="C26" s="381" t="s">
        <v>912</v>
      </c>
      <c r="D26" s="381" t="s">
        <v>658</v>
      </c>
      <c r="E26" s="382" t="s">
        <v>52</v>
      </c>
      <c r="F26" s="384">
        <f>SUMIF('9.Non-elective admissions - Map'!$C$5:$C$870,'10.Non-elective admissions -HWB'!$D26,'9.Non-elective admissions - Map'!J$5:J$870)</f>
        <v>4744.2614042675405</v>
      </c>
      <c r="G26" s="384">
        <f>SUMIF('9.Non-elective admissions - Map'!$C$5:$C$870,'10.Non-elective admissions -HWB'!$D26,'9.Non-elective admissions - Map'!K$5:K$870)</f>
        <v>4724.9275482770681</v>
      </c>
      <c r="H26" s="384">
        <f>SUMIF('9.Non-elective admissions - Map'!$C$5:$C$870,'10.Non-elective admissions -HWB'!$D26,'9.Non-elective admissions - Map'!L$5:L$870)</f>
        <v>5001.6392230778147</v>
      </c>
      <c r="I26" s="384">
        <f>SUMIF('9.Non-elective admissions - Map'!$C$5:$C$870,'10.Non-elective admissions -HWB'!$D26,'9.Non-elective admissions - Map'!M$5:M$870)</f>
        <v>4850.6622919708816</v>
      </c>
      <c r="J26" s="384">
        <f>SUMIF('9.Non-elective admissions - Map'!$C$5:$C$870,'10.Non-elective admissions -HWB'!$D26,'9.Non-elective admissions - Map'!N$5:N$870)</f>
        <v>4983.0035514359261</v>
      </c>
      <c r="K26" s="384">
        <f>SUMIF('9.Non-elective admissions - Map'!$C$5:$C$870,'10.Non-elective admissions -HWB'!$D26,'9.Non-elective admissions - Map'!O$5:O$870)</f>
        <v>4645.9658836886356</v>
      </c>
      <c r="L26" s="384">
        <f>SUMIF('9.Non-elective admissions - Map'!$C$5:$C$870,'10.Non-elective admissions -HWB'!$D26,'9.Non-elective admissions - Map'!P$5:P$870)</f>
        <v>4916.4326656503426</v>
      </c>
      <c r="M26" s="384">
        <f>SUMIF('9.Non-elective admissions - Map'!$C$5:$C$870,'10.Non-elective admissions -HWB'!$D26,'9.Non-elective admissions - Map'!Q$5:Q$870)</f>
        <v>4767.9170467433087</v>
      </c>
      <c r="N26" s="384">
        <f>SUMIF('9.Non-elective admissions - Map'!$C$5:$C$870,'10.Non-elective admissions -HWB'!$D26,'9.Non-elective admissions - Map'!R$5:R$870)</f>
        <v>4457.303316944307</v>
      </c>
      <c r="O26" s="384">
        <f>SUMIF('9.Non-elective admissions - Map'!$C$5:$C$870,'10.Non-elective admissions -HWB'!$D26,'9.Non-elective admissions - Map'!S$5:S$870)</f>
        <v>4444.3513959161437</v>
      </c>
      <c r="P26" s="384">
        <f>SUMIF('9.Non-elective admissions - Map'!$C$5:$C$870,'10.Non-elective admissions -HWB'!$D26,'9.Non-elective admissions - Map'!T$5:T$870)</f>
        <v>4756.6819161126577</v>
      </c>
      <c r="Q26" s="384">
        <f>SUMIF('9.Non-elective admissions - Map'!$C$5:$C$870,'10.Non-elective admissions -HWB'!$D26,'9.Non-elective admissions - Map'!U$5:U$870)</f>
        <v>4608.9603224456296</v>
      </c>
    </row>
    <row r="27" spans="1:17">
      <c r="A27" s="380" t="s">
        <v>1223</v>
      </c>
      <c r="B27" s="381" t="s">
        <v>911</v>
      </c>
      <c r="C27" s="381" t="s">
        <v>912</v>
      </c>
      <c r="D27" s="381" t="s">
        <v>718</v>
      </c>
      <c r="E27" s="382" t="s">
        <v>270</v>
      </c>
      <c r="F27" s="384">
        <f>SUMIF('9.Non-elective admissions - Map'!$C$5:$C$870,'10.Non-elective admissions -HWB'!$D27,'9.Non-elective admissions - Map'!J$5:J$870)</f>
        <v>33751.669354049016</v>
      </c>
      <c r="G27" s="384">
        <f>SUMIF('9.Non-elective admissions - Map'!$C$5:$C$870,'10.Non-elective admissions -HWB'!$D27,'9.Non-elective admissions - Map'!K$5:K$870)</f>
        <v>32436.091407585442</v>
      </c>
      <c r="H27" s="384">
        <f>SUMIF('9.Non-elective admissions - Map'!$C$5:$C$870,'10.Non-elective admissions -HWB'!$D27,'9.Non-elective admissions - Map'!L$5:L$870)</f>
        <v>34492.391564306643</v>
      </c>
      <c r="I27" s="384">
        <f>SUMIF('9.Non-elective admissions - Map'!$C$5:$C$870,'10.Non-elective admissions -HWB'!$D27,'9.Non-elective admissions - Map'!M$5:M$870)</f>
        <v>34095.053079029203</v>
      </c>
      <c r="J27" s="384">
        <f>SUMIF('9.Non-elective admissions - Map'!$C$5:$C$870,'10.Non-elective admissions -HWB'!$D27,'9.Non-elective admissions - Map'!N$5:N$870)</f>
        <v>33515.915081800973</v>
      </c>
      <c r="K27" s="384">
        <f>SUMIF('9.Non-elective admissions - Map'!$C$5:$C$870,'10.Non-elective admissions -HWB'!$D27,'9.Non-elective admissions - Map'!O$5:O$870)</f>
        <v>32614.70553708767</v>
      </c>
      <c r="L27" s="384">
        <f>SUMIF('9.Non-elective admissions - Map'!$C$5:$C$870,'10.Non-elective admissions -HWB'!$D27,'9.Non-elective admissions - Map'!P$5:P$870)</f>
        <v>34028.434016455925</v>
      </c>
      <c r="M27" s="384">
        <f>SUMIF('9.Non-elective admissions - Map'!$C$5:$C$870,'10.Non-elective admissions -HWB'!$D27,'9.Non-elective admissions - Map'!Q$5:Q$870)</f>
        <v>34083.692885365992</v>
      </c>
      <c r="N27" s="384">
        <f>SUMIF('9.Non-elective admissions - Map'!$C$5:$C$870,'10.Non-elective admissions -HWB'!$D27,'9.Non-elective admissions - Map'!R$5:R$870)</f>
        <v>32968.174626209599</v>
      </c>
      <c r="O27" s="384">
        <f>SUMIF('9.Non-elective admissions - Map'!$C$5:$C$870,'10.Non-elective admissions -HWB'!$D27,'9.Non-elective admissions - Map'!S$5:S$870)</f>
        <v>32128.377073521482</v>
      </c>
      <c r="P27" s="384">
        <f>SUMIF('9.Non-elective admissions - Map'!$C$5:$C$870,'10.Non-elective admissions -HWB'!$D27,'9.Non-elective admissions - Map'!T$5:T$870)</f>
        <v>33523.744227487819</v>
      </c>
      <c r="Q27" s="384">
        <f>SUMIF('9.Non-elective admissions - Map'!$C$5:$C$870,'10.Non-elective admissions -HWB'!$D27,'9.Non-elective admissions - Map'!U$5:U$870)</f>
        <v>33586.840558252989</v>
      </c>
    </row>
    <row r="28" spans="1:17">
      <c r="A28" s="380" t="s">
        <v>1223</v>
      </c>
      <c r="B28" s="381" t="s">
        <v>948</v>
      </c>
      <c r="C28" s="381" t="s">
        <v>949</v>
      </c>
      <c r="D28" s="381" t="s">
        <v>697</v>
      </c>
      <c r="E28" s="382" t="s">
        <v>198</v>
      </c>
      <c r="F28" s="384">
        <f>SUMIF('9.Non-elective admissions - Map'!$C$5:$C$870,'10.Non-elective admissions -HWB'!$D28,'9.Non-elective admissions - Map'!J$5:J$870)</f>
        <v>4488.8043685813955</v>
      </c>
      <c r="G28" s="384">
        <f>SUMIF('9.Non-elective admissions - Map'!$C$5:$C$870,'10.Non-elective admissions -HWB'!$D28,'9.Non-elective admissions - Map'!K$5:K$870)</f>
        <v>4158.1609696953747</v>
      </c>
      <c r="H28" s="384">
        <f>SUMIF('9.Non-elective admissions - Map'!$C$5:$C$870,'10.Non-elective admissions -HWB'!$D28,'9.Non-elective admissions - Map'!L$5:L$870)</f>
        <v>4217.1124650582569</v>
      </c>
      <c r="I28" s="384">
        <f>SUMIF('9.Non-elective admissions - Map'!$C$5:$C$870,'10.Non-elective admissions -HWB'!$D28,'9.Non-elective admissions - Map'!M$5:M$870)</f>
        <v>4241.7007247305746</v>
      </c>
      <c r="J28" s="384">
        <f>SUMIF('9.Non-elective admissions - Map'!$C$5:$C$870,'10.Non-elective admissions -HWB'!$D28,'9.Non-elective admissions - Map'!N$5:N$870)</f>
        <v>4219.725127167113</v>
      </c>
      <c r="K28" s="384">
        <f>SUMIF('9.Non-elective admissions - Map'!$C$5:$C$870,'10.Non-elective admissions -HWB'!$D28,'9.Non-elective admissions - Map'!O$5:O$870)</f>
        <v>4133.0123132022836</v>
      </c>
      <c r="L28" s="384">
        <f>SUMIF('9.Non-elective admissions - Map'!$C$5:$C$870,'10.Non-elective admissions -HWB'!$D28,'9.Non-elective admissions - Map'!P$5:P$870)</f>
        <v>4163.7438640994969</v>
      </c>
      <c r="M28" s="384">
        <f>SUMIF('9.Non-elective admissions - Map'!$C$5:$C$870,'10.Non-elective admissions -HWB'!$D28,'9.Non-elective admissions - Map'!Q$5:Q$870)</f>
        <v>4136.3246034021431</v>
      </c>
      <c r="N28" s="384">
        <f>SUMIF('9.Non-elective admissions - Map'!$C$5:$C$870,'10.Non-elective admissions -HWB'!$D28,'9.Non-elective admissions - Map'!R$5:R$870)</f>
        <v>4005.4106707474102</v>
      </c>
      <c r="O28" s="384">
        <f>SUMIF('9.Non-elective admissions - Map'!$C$5:$C$870,'10.Non-elective admissions -HWB'!$D28,'9.Non-elective admissions - Map'!S$5:S$870)</f>
        <v>3922.555024764993</v>
      </c>
      <c r="P28" s="384">
        <f>SUMIF('9.Non-elective admissions - Map'!$C$5:$C$870,'10.Non-elective admissions -HWB'!$D28,'9.Non-elective admissions - Map'!T$5:T$870)</f>
        <v>3954.267362961702</v>
      </c>
      <c r="Q28" s="384">
        <f>SUMIF('9.Non-elective admissions - Map'!$C$5:$C$870,'10.Non-elective admissions -HWB'!$D28,'9.Non-elective admissions - Map'!U$5:U$870)</f>
        <v>3926.3494758314423</v>
      </c>
    </row>
    <row r="29" spans="1:17">
      <c r="A29" s="380" t="s">
        <v>1223</v>
      </c>
      <c r="B29" s="381" t="s">
        <v>948</v>
      </c>
      <c r="C29" s="381" t="s">
        <v>949</v>
      </c>
      <c r="D29" s="381" t="s">
        <v>716</v>
      </c>
      <c r="E29" s="382" t="s">
        <v>264</v>
      </c>
      <c r="F29" s="384">
        <f>SUMIF('9.Non-elective admissions - Map'!$C$5:$C$870,'10.Non-elective admissions -HWB'!$D29,'9.Non-elective admissions - Map'!J$5:J$870)</f>
        <v>5316.6527564122043</v>
      </c>
      <c r="G29" s="384">
        <f>SUMIF('9.Non-elective admissions - Map'!$C$5:$C$870,'10.Non-elective admissions -HWB'!$D29,'9.Non-elective admissions - Map'!K$5:K$870)</f>
        <v>5064.1773805110242</v>
      </c>
      <c r="H29" s="384">
        <f>SUMIF('9.Non-elective admissions - Map'!$C$5:$C$870,'10.Non-elective admissions -HWB'!$D29,'9.Non-elective admissions - Map'!L$5:L$870)</f>
        <v>5012.847345112139</v>
      </c>
      <c r="I29" s="384">
        <f>SUMIF('9.Non-elective admissions - Map'!$C$5:$C$870,'10.Non-elective admissions -HWB'!$D29,'9.Non-elective admissions - Map'!M$5:M$870)</f>
        <v>5048.4215995523027</v>
      </c>
      <c r="J29" s="384">
        <f>SUMIF('9.Non-elective admissions - Map'!$C$5:$C$870,'10.Non-elective admissions -HWB'!$D29,'9.Non-elective admissions - Map'!N$5:N$870)</f>
        <v>5106.639181536083</v>
      </c>
      <c r="K29" s="384">
        <f>SUMIF('9.Non-elective admissions - Map'!$C$5:$C$870,'10.Non-elective admissions -HWB'!$D29,'9.Non-elective admissions - Map'!O$5:O$870)</f>
        <v>5025.4872454132101</v>
      </c>
      <c r="L29" s="384">
        <f>SUMIF('9.Non-elective admissions - Map'!$C$5:$C$870,'10.Non-elective admissions -HWB'!$D29,'9.Non-elective admissions - Map'!P$5:P$870)</f>
        <v>5075.0765270310758</v>
      </c>
      <c r="M29" s="384">
        <f>SUMIF('9.Non-elective admissions - Map'!$C$5:$C$870,'10.Non-elective admissions -HWB'!$D29,'9.Non-elective admissions - Map'!Q$5:Q$870)</f>
        <v>5269.2059499258512</v>
      </c>
      <c r="N29" s="384">
        <f>SUMIF('9.Non-elective admissions - Map'!$C$5:$C$870,'10.Non-elective admissions -HWB'!$D29,'9.Non-elective admissions - Map'!R$5:R$870)</f>
        <v>4991.8607047679379</v>
      </c>
      <c r="O29" s="384">
        <f>SUMIF('9.Non-elective admissions - Map'!$C$5:$C$870,'10.Non-elective admissions -HWB'!$D29,'9.Non-elective admissions - Map'!S$5:S$870)</f>
        <v>4915.0565628334471</v>
      </c>
      <c r="P29" s="384">
        <f>SUMIF('9.Non-elective admissions - Map'!$C$5:$C$870,'10.Non-elective admissions -HWB'!$D29,'9.Non-elective admissions - Map'!T$5:T$870)</f>
        <v>4961.2511406022213</v>
      </c>
      <c r="Q29" s="384">
        <f>SUMIF('9.Non-elective admissions - Map'!$C$5:$C$870,'10.Non-elective admissions -HWB'!$D29,'9.Non-elective admissions - Map'!U$5:U$870)</f>
        <v>5155.6075807960387</v>
      </c>
    </row>
    <row r="30" spans="1:17">
      <c r="A30" s="380" t="s">
        <v>1223</v>
      </c>
      <c r="B30" s="381" t="s">
        <v>948</v>
      </c>
      <c r="C30" s="381" t="s">
        <v>949</v>
      </c>
      <c r="D30" s="381" t="s">
        <v>724</v>
      </c>
      <c r="E30" s="382" t="s">
        <v>288</v>
      </c>
      <c r="F30" s="384">
        <f>SUMIF('9.Non-elective admissions - Map'!$C$5:$C$870,'10.Non-elective admissions -HWB'!$D30,'9.Non-elective admissions - Map'!J$5:J$870)</f>
        <v>12773.444594307433</v>
      </c>
      <c r="G30" s="384">
        <f>SUMIF('9.Non-elective admissions - Map'!$C$5:$C$870,'10.Non-elective admissions -HWB'!$D30,'9.Non-elective admissions - Map'!K$5:K$870)</f>
        <v>12749.563026333539</v>
      </c>
      <c r="H30" s="384">
        <f>SUMIF('9.Non-elective admissions - Map'!$C$5:$C$870,'10.Non-elective admissions -HWB'!$D30,'9.Non-elective admissions - Map'!L$5:L$870)</f>
        <v>13235.521920142392</v>
      </c>
      <c r="I30" s="384">
        <f>SUMIF('9.Non-elective admissions - Map'!$C$5:$C$870,'10.Non-elective admissions -HWB'!$D30,'9.Non-elective admissions - Map'!M$5:M$870)</f>
        <v>13694.047305444641</v>
      </c>
      <c r="J30" s="384">
        <f>SUMIF('9.Non-elective admissions - Map'!$C$5:$C$870,'10.Non-elective admissions -HWB'!$D30,'9.Non-elective admissions - Map'!N$5:N$870)</f>
        <v>12598.438891220814</v>
      </c>
      <c r="K30" s="384">
        <f>SUMIF('9.Non-elective admissions - Map'!$C$5:$C$870,'10.Non-elective admissions -HWB'!$D30,'9.Non-elective admissions - Map'!O$5:O$870)</f>
        <v>12731.267794159956</v>
      </c>
      <c r="L30" s="384">
        <f>SUMIF('9.Non-elective admissions - Map'!$C$5:$C$870,'10.Non-elective admissions -HWB'!$D30,'9.Non-elective admissions - Map'!P$5:P$870)</f>
        <v>12736.345624849877</v>
      </c>
      <c r="M30" s="384">
        <f>SUMIF('9.Non-elective admissions - Map'!$C$5:$C$870,'10.Non-elective admissions -HWB'!$D30,'9.Non-elective admissions - Map'!Q$5:Q$870)</f>
        <v>12495.652328660744</v>
      </c>
      <c r="N30" s="384">
        <f>SUMIF('9.Non-elective admissions - Map'!$C$5:$C$870,'10.Non-elective admissions -HWB'!$D30,'9.Non-elective admissions - Map'!R$5:R$870)</f>
        <v>12285.68987692062</v>
      </c>
      <c r="O30" s="384">
        <f>SUMIF('9.Non-elective admissions - Map'!$C$5:$C$870,'10.Non-elective admissions -HWB'!$D30,'9.Non-elective admissions - Map'!S$5:S$870)</f>
        <v>12409.455266483928</v>
      </c>
      <c r="P30" s="384">
        <f>SUMIF('9.Non-elective admissions - Map'!$C$5:$C$870,'10.Non-elective admissions -HWB'!$D30,'9.Non-elective admissions - Map'!T$5:T$870)</f>
        <v>12414.257489303471</v>
      </c>
      <c r="Q30" s="384">
        <f>SUMIF('9.Non-elective admissions - Map'!$C$5:$C$870,'10.Non-elective admissions -HWB'!$D30,'9.Non-elective admissions - Map'!U$5:U$870)</f>
        <v>12310.915084154165</v>
      </c>
    </row>
    <row r="31" spans="1:17">
      <c r="A31" s="380" t="s">
        <v>1223</v>
      </c>
      <c r="B31" s="381" t="s">
        <v>948</v>
      </c>
      <c r="C31" s="381" t="s">
        <v>949</v>
      </c>
      <c r="D31" s="381" t="s">
        <v>757</v>
      </c>
      <c r="E31" s="382" t="s">
        <v>387</v>
      </c>
      <c r="F31" s="384">
        <f>SUMIF('9.Non-elective admissions - Map'!$C$5:$C$870,'10.Non-elective admissions -HWB'!$D31,'9.Non-elective admissions - Map'!J$5:J$870)</f>
        <v>7903.6504753854861</v>
      </c>
      <c r="G31" s="384">
        <f>SUMIF('9.Non-elective admissions - Map'!$C$5:$C$870,'10.Non-elective admissions -HWB'!$D31,'9.Non-elective admissions - Map'!K$5:K$870)</f>
        <v>7962.4627822789625</v>
      </c>
      <c r="H31" s="384">
        <f>SUMIF('9.Non-elective admissions - Map'!$C$5:$C$870,'10.Non-elective admissions -HWB'!$D31,'9.Non-elective admissions - Map'!L$5:L$870)</f>
        <v>8323.7794894259168</v>
      </c>
      <c r="I31" s="384">
        <f>SUMIF('9.Non-elective admissions - Map'!$C$5:$C$870,'10.Non-elective admissions -HWB'!$D31,'9.Non-elective admissions - Map'!M$5:M$870)</f>
        <v>8455.1350207208798</v>
      </c>
      <c r="J31" s="384">
        <f>SUMIF('9.Non-elective admissions - Map'!$C$5:$C$870,'10.Non-elective admissions -HWB'!$D31,'9.Non-elective admissions - Map'!N$5:N$870)</f>
        <v>8145.2791016893443</v>
      </c>
      <c r="K31" s="384">
        <f>SUMIF('9.Non-elective admissions - Map'!$C$5:$C$870,'10.Non-elective admissions -HWB'!$D31,'9.Non-elective admissions - Map'!O$5:O$870)</f>
        <v>8147.5843743249279</v>
      </c>
      <c r="L31" s="384">
        <f>SUMIF('9.Non-elective admissions - Map'!$C$5:$C$870,'10.Non-elective admissions -HWB'!$D31,'9.Non-elective admissions - Map'!P$5:P$870)</f>
        <v>7792.664906318324</v>
      </c>
      <c r="M31" s="384">
        <f>SUMIF('9.Non-elective admissions - Map'!$C$5:$C$870,'10.Non-elective admissions -HWB'!$D31,'9.Non-elective admissions - Map'!Q$5:Q$870)</f>
        <v>8515.1144467396571</v>
      </c>
      <c r="N31" s="384">
        <f>SUMIF('9.Non-elective admissions - Map'!$C$5:$C$870,'10.Non-elective admissions -HWB'!$D31,'9.Non-elective admissions - Map'!R$5:R$870)</f>
        <v>8019.7493882933268</v>
      </c>
      <c r="O31" s="384">
        <f>SUMIF('9.Non-elective admissions - Map'!$C$5:$C$870,'10.Non-elective admissions -HWB'!$D31,'9.Non-elective admissions - Map'!S$5:S$870)</f>
        <v>8019.9274788102748</v>
      </c>
      <c r="P31" s="384">
        <f>SUMIF('9.Non-elective admissions - Map'!$C$5:$C$870,'10.Non-elective admissions -HWB'!$D31,'9.Non-elective admissions - Map'!T$5:T$870)</f>
        <v>7670.7402201140021</v>
      </c>
      <c r="Q31" s="384">
        <f>SUMIF('9.Non-elective admissions - Map'!$C$5:$C$870,'10.Non-elective admissions -HWB'!$D31,'9.Non-elective admissions - Map'!U$5:U$870)</f>
        <v>8387.6597249570495</v>
      </c>
    </row>
    <row r="32" spans="1:17">
      <c r="A32" s="380" t="s">
        <v>1223</v>
      </c>
      <c r="B32" s="381" t="s">
        <v>948</v>
      </c>
      <c r="C32" s="381" t="s">
        <v>949</v>
      </c>
      <c r="D32" s="381" t="s">
        <v>768</v>
      </c>
      <c r="E32" s="382" t="s">
        <v>420</v>
      </c>
      <c r="F32" s="384">
        <f>SUMIF('9.Non-elective admissions - Map'!$C$5:$C$870,'10.Non-elective admissions -HWB'!$D32,'9.Non-elective admissions - Map'!J$5:J$870)</f>
        <v>5824.1859314463727</v>
      </c>
      <c r="G32" s="384">
        <f>SUMIF('9.Non-elective admissions - Map'!$C$5:$C$870,'10.Non-elective admissions -HWB'!$D32,'9.Non-elective admissions - Map'!K$5:K$870)</f>
        <v>5676.7016891212716</v>
      </c>
      <c r="H32" s="384">
        <f>SUMIF('9.Non-elective admissions - Map'!$C$5:$C$870,'10.Non-elective admissions -HWB'!$D32,'9.Non-elective admissions - Map'!L$5:L$870)</f>
        <v>5536.751226618836</v>
      </c>
      <c r="I32" s="384">
        <f>SUMIF('9.Non-elective admissions - Map'!$C$5:$C$870,'10.Non-elective admissions -HWB'!$D32,'9.Non-elective admissions - Map'!M$5:M$870)</f>
        <v>5581.9130714278563</v>
      </c>
      <c r="J32" s="384">
        <f>SUMIF('9.Non-elective admissions - Map'!$C$5:$C$870,'10.Non-elective admissions -HWB'!$D32,'9.Non-elective admissions - Map'!N$5:N$870)</f>
        <v>5307.0311614546044</v>
      </c>
      <c r="K32" s="384">
        <f>SUMIF('9.Non-elective admissions - Map'!$C$5:$C$870,'10.Non-elective admissions -HWB'!$D32,'9.Non-elective admissions - Map'!O$5:O$870)</f>
        <v>5184.9830381352658</v>
      </c>
      <c r="L32" s="384">
        <f>SUMIF('9.Non-elective admissions - Map'!$C$5:$C$870,'10.Non-elective admissions -HWB'!$D32,'9.Non-elective admissions - Map'!P$5:P$870)</f>
        <v>5075.6947496588546</v>
      </c>
      <c r="M32" s="384">
        <f>SUMIF('9.Non-elective admissions - Map'!$C$5:$C$870,'10.Non-elective admissions -HWB'!$D32,'9.Non-elective admissions - Map'!Q$5:Q$870)</f>
        <v>5133.4395489409862</v>
      </c>
      <c r="N32" s="384">
        <f>SUMIF('9.Non-elective admissions - Map'!$C$5:$C$870,'10.Non-elective admissions -HWB'!$D32,'9.Non-elective admissions - Map'!R$5:R$870)</f>
        <v>5175.362175636852</v>
      </c>
      <c r="O32" s="384">
        <f>SUMIF('9.Non-elective admissions - Map'!$C$5:$C$870,'10.Non-elective admissions -HWB'!$D32,'9.Non-elective admissions - Map'!S$5:S$870)</f>
        <v>5061.6499907364032</v>
      </c>
      <c r="P32" s="384">
        <f>SUMIF('9.Non-elective admissions - Map'!$C$5:$C$870,'10.Non-elective admissions -HWB'!$D32,'9.Non-elective admissions - Map'!T$5:T$870)</f>
        <v>4954.9762429339671</v>
      </c>
      <c r="Q32" s="384">
        <f>SUMIF('9.Non-elective admissions - Map'!$C$5:$C$870,'10.Non-elective admissions -HWB'!$D32,'9.Non-elective admissions - Map'!U$5:U$870)</f>
        <v>5011.7232276320437</v>
      </c>
    </row>
    <row r="33" spans="1:17">
      <c r="A33" s="380" t="s">
        <v>1223</v>
      </c>
      <c r="B33" s="381" t="s">
        <v>939</v>
      </c>
      <c r="C33" s="381" t="s">
        <v>940</v>
      </c>
      <c r="D33" s="381" t="s">
        <v>680</v>
      </c>
      <c r="E33" s="382" t="s">
        <v>136</v>
      </c>
      <c r="F33" s="384">
        <f>SUMIF('9.Non-elective admissions - Map'!$C$5:$C$870,'10.Non-elective admissions -HWB'!$D33,'9.Non-elective admissions - Map'!J$5:J$870)</f>
        <v>13778.56341072911</v>
      </c>
      <c r="G33" s="384">
        <f>SUMIF('9.Non-elective admissions - Map'!$C$5:$C$870,'10.Non-elective admissions -HWB'!$D33,'9.Non-elective admissions - Map'!K$5:K$870)</f>
        <v>13735.4955254004</v>
      </c>
      <c r="H33" s="384">
        <f>SUMIF('9.Non-elective admissions - Map'!$C$5:$C$870,'10.Non-elective admissions -HWB'!$D33,'9.Non-elective admissions - Map'!L$5:L$870)</f>
        <v>14461.420094420031</v>
      </c>
      <c r="I33" s="384">
        <f>SUMIF('9.Non-elective admissions - Map'!$C$5:$C$870,'10.Non-elective admissions -HWB'!$D33,'9.Non-elective admissions - Map'!M$5:M$870)</f>
        <v>14609.500162182399</v>
      </c>
      <c r="J33" s="384">
        <f>SUMIF('9.Non-elective admissions - Map'!$C$5:$C$870,'10.Non-elective admissions -HWB'!$D33,'9.Non-elective admissions - Map'!N$5:N$870)</f>
        <v>13494.655140568153</v>
      </c>
      <c r="K33" s="384">
        <f>SUMIF('9.Non-elective admissions - Map'!$C$5:$C$870,'10.Non-elective admissions -HWB'!$D33,'9.Non-elective admissions - Map'!O$5:O$870)</f>
        <v>13647.228907088591</v>
      </c>
      <c r="L33" s="384">
        <f>SUMIF('9.Non-elective admissions - Map'!$C$5:$C$870,'10.Non-elective admissions -HWB'!$D33,'9.Non-elective admissions - Map'!P$5:P$870)</f>
        <v>14562.312873120056</v>
      </c>
      <c r="M33" s="384">
        <f>SUMIF('9.Non-elective admissions - Map'!$C$5:$C$870,'10.Non-elective admissions -HWB'!$D33,'9.Non-elective admissions - Map'!Q$5:Q$870)</f>
        <v>14180.4181450304</v>
      </c>
      <c r="N33" s="384">
        <f>SUMIF('9.Non-elective admissions - Map'!$C$5:$C$870,'10.Non-elective admissions -HWB'!$D33,'9.Non-elective admissions - Map'!R$5:R$870)</f>
        <v>13382.569275800004</v>
      </c>
      <c r="O33" s="384">
        <f>SUMIF('9.Non-elective admissions - Map'!$C$5:$C$870,'10.Non-elective admissions -HWB'!$D33,'9.Non-elective admissions - Map'!S$5:S$870)</f>
        <v>13532.222246050935</v>
      </c>
      <c r="P33" s="384">
        <f>SUMIF('9.Non-elective admissions - Map'!$C$5:$C$870,'10.Non-elective admissions -HWB'!$D33,'9.Non-elective admissions - Map'!T$5:T$870)</f>
        <v>14441.458415758452</v>
      </c>
      <c r="Q33" s="384">
        <f>SUMIF('9.Non-elective admissions - Map'!$C$5:$C$870,'10.Non-elective admissions -HWB'!$D33,'9.Non-elective admissions - Map'!U$5:U$870)</f>
        <v>14059.565755597107</v>
      </c>
    </row>
    <row r="34" spans="1:17">
      <c r="A34" s="380" t="s">
        <v>1223</v>
      </c>
      <c r="B34" s="381" t="s">
        <v>939</v>
      </c>
      <c r="C34" s="381" t="s">
        <v>940</v>
      </c>
      <c r="D34" s="381" t="s">
        <v>693</v>
      </c>
      <c r="E34" s="382" t="s">
        <v>184</v>
      </c>
      <c r="F34" s="384">
        <f>SUMIF('9.Non-elective admissions - Map'!$C$5:$C$870,'10.Non-elective admissions -HWB'!$D34,'9.Non-elective admissions - Map'!J$5:J$870)</f>
        <v>6245.7354991362863</v>
      </c>
      <c r="G34" s="384">
        <f>SUMIF('9.Non-elective admissions - Map'!$C$5:$C$870,'10.Non-elective admissions -HWB'!$D34,'9.Non-elective admissions - Map'!K$5:K$870)</f>
        <v>6215.739945711377</v>
      </c>
      <c r="H34" s="384">
        <f>SUMIF('9.Non-elective admissions - Map'!$C$5:$C$870,'10.Non-elective admissions -HWB'!$D34,'9.Non-elective admissions - Map'!L$5:L$870)</f>
        <v>6501.4951543020998</v>
      </c>
      <c r="I34" s="384">
        <f>SUMIF('9.Non-elective admissions - Map'!$C$5:$C$870,'10.Non-elective admissions -HWB'!$D34,'9.Non-elective admissions - Map'!M$5:M$870)</f>
        <v>6889.8336099922008</v>
      </c>
      <c r="J34" s="384">
        <f>SUMIF('9.Non-elective admissions - Map'!$C$5:$C$870,'10.Non-elective admissions -HWB'!$D34,'9.Non-elective admissions - Map'!N$5:N$870)</f>
        <v>6238.2714991316625</v>
      </c>
      <c r="K34" s="384">
        <f>SUMIF('9.Non-elective admissions - Map'!$C$5:$C$870,'10.Non-elective admissions -HWB'!$D34,'9.Non-elective admissions - Map'!O$5:O$870)</f>
        <v>6109.8415596312116</v>
      </c>
      <c r="L34" s="384">
        <f>SUMIF('9.Non-elective admissions - Map'!$C$5:$C$870,'10.Non-elective admissions -HWB'!$D34,'9.Non-elective admissions - Map'!P$5:P$870)</f>
        <v>6377.383381672731</v>
      </c>
      <c r="M34" s="384">
        <f>SUMIF('9.Non-elective admissions - Map'!$C$5:$C$870,'10.Non-elective admissions -HWB'!$D34,'9.Non-elective admissions - Map'!Q$5:Q$870)</f>
        <v>6373.4629993393155</v>
      </c>
      <c r="N34" s="384">
        <f>SUMIF('9.Non-elective admissions - Map'!$C$5:$C$870,'10.Non-elective admissions -HWB'!$D34,'9.Non-elective admissions - Map'!R$5:R$870)</f>
        <v>6115.933464656564</v>
      </c>
      <c r="O34" s="384">
        <f>SUMIF('9.Non-elective admissions - Map'!$C$5:$C$870,'10.Non-elective admissions -HWB'!$D34,'9.Non-elective admissions - Map'!S$5:S$870)</f>
        <v>5985.5820268176903</v>
      </c>
      <c r="P34" s="384">
        <f>SUMIF('9.Non-elective admissions - Map'!$C$5:$C$870,'10.Non-elective admissions -HWB'!$D34,'9.Non-elective admissions - Map'!T$5:T$870)</f>
        <v>6254.0921812091692</v>
      </c>
      <c r="Q34" s="384">
        <f>SUMIF('9.Non-elective admissions - Map'!$C$5:$C$870,'10.Non-elective admissions -HWB'!$D34,'9.Non-elective admissions - Map'!U$5:U$870)</f>
        <v>6249.1969030063001</v>
      </c>
    </row>
    <row r="35" spans="1:17">
      <c r="A35" s="380" t="s">
        <v>1223</v>
      </c>
      <c r="B35" s="381" t="s">
        <v>939</v>
      </c>
      <c r="C35" s="381" t="s">
        <v>940</v>
      </c>
      <c r="D35" s="381" t="s">
        <v>731</v>
      </c>
      <c r="E35" s="382" t="s">
        <v>309</v>
      </c>
      <c r="F35" s="384">
        <f>SUMIF('9.Non-elective admissions - Map'!$C$5:$C$870,'10.Non-elective admissions -HWB'!$D35,'9.Non-elective admissions - Map'!J$5:J$870)</f>
        <v>8507.3516487754332</v>
      </c>
      <c r="G35" s="384">
        <f>SUMIF('9.Non-elective admissions - Map'!$C$5:$C$870,'10.Non-elective admissions -HWB'!$D35,'9.Non-elective admissions - Map'!K$5:K$870)</f>
        <v>8476.0709906599132</v>
      </c>
      <c r="H35" s="384">
        <f>SUMIF('9.Non-elective admissions - Map'!$C$5:$C$870,'10.Non-elective admissions -HWB'!$D35,'9.Non-elective admissions - Map'!L$5:L$870)</f>
        <v>8950.9712574901569</v>
      </c>
      <c r="I35" s="384">
        <f>SUMIF('9.Non-elective admissions - Map'!$C$5:$C$870,'10.Non-elective admissions -HWB'!$D35,'9.Non-elective admissions - Map'!M$5:M$870)</f>
        <v>8882.9992088420531</v>
      </c>
      <c r="J35" s="384">
        <f>SUMIF('9.Non-elective admissions - Map'!$C$5:$C$870,'10.Non-elective admissions -HWB'!$D35,'9.Non-elective admissions - Map'!N$5:N$870)</f>
        <v>8181.6602486815054</v>
      </c>
      <c r="K35" s="384">
        <f>SUMIF('9.Non-elective admissions - Map'!$C$5:$C$870,'10.Non-elective admissions -HWB'!$D35,'9.Non-elective admissions - Map'!O$5:O$870)</f>
        <v>8082.1715021226</v>
      </c>
      <c r="L35" s="384">
        <f>SUMIF('9.Non-elective admissions - Map'!$C$5:$C$870,'10.Non-elective admissions -HWB'!$D35,'9.Non-elective admissions - Map'!P$5:P$870)</f>
        <v>8384.3851949358559</v>
      </c>
      <c r="M35" s="384">
        <f>SUMIF('9.Non-elective admissions - Map'!$C$5:$C$870,'10.Non-elective admissions -HWB'!$D35,'9.Non-elective admissions - Map'!Q$5:Q$870)</f>
        <v>8943.551875290199</v>
      </c>
      <c r="N35" s="384">
        <f>SUMIF('9.Non-elective admissions - Map'!$C$5:$C$870,'10.Non-elective admissions -HWB'!$D35,'9.Non-elective admissions - Map'!R$5:R$870)</f>
        <v>8017.8907902431765</v>
      </c>
      <c r="O35" s="384">
        <f>SUMIF('9.Non-elective admissions - Map'!$C$5:$C$870,'10.Non-elective admissions -HWB'!$D35,'9.Non-elective admissions - Map'!S$5:S$870)</f>
        <v>7920.6114145919391</v>
      </c>
      <c r="P35" s="384">
        <f>SUMIF('9.Non-elective admissions - Map'!$C$5:$C$870,'10.Non-elective admissions -HWB'!$D35,'9.Non-elective admissions - Map'!T$5:T$870)</f>
        <v>8213.6289384501106</v>
      </c>
      <c r="Q35" s="384">
        <f>SUMIF('9.Non-elective admissions - Map'!$C$5:$C$870,'10.Non-elective admissions -HWB'!$D35,'9.Non-elective admissions - Map'!U$5:U$870)</f>
        <v>8765.5080436821863</v>
      </c>
    </row>
    <row r="36" spans="1:17">
      <c r="A36" s="380" t="s">
        <v>1223</v>
      </c>
      <c r="B36" s="381" t="s">
        <v>939</v>
      </c>
      <c r="C36" s="381" t="s">
        <v>940</v>
      </c>
      <c r="D36" s="381" t="s">
        <v>737</v>
      </c>
      <c r="E36" s="382" t="s">
        <v>327</v>
      </c>
      <c r="F36" s="384">
        <f>SUMIF('9.Non-elective admissions - Map'!$C$5:$C$870,'10.Non-elective admissions -HWB'!$D36,'9.Non-elective admissions - Map'!J$5:J$870)</f>
        <v>5751.7914167597246</v>
      </c>
      <c r="G36" s="384">
        <f>SUMIF('9.Non-elective admissions - Map'!$C$5:$C$870,'10.Non-elective admissions -HWB'!$D36,'9.Non-elective admissions - Map'!K$5:K$870)</f>
        <v>5597.8063854666798</v>
      </c>
      <c r="H36" s="384">
        <f>SUMIF('9.Non-elective admissions - Map'!$C$5:$C$870,'10.Non-elective admissions -HWB'!$D36,'9.Non-elective admissions - Map'!L$5:L$870)</f>
        <v>5955.7401036463689</v>
      </c>
      <c r="I36" s="384">
        <f>SUMIF('9.Non-elective admissions - Map'!$C$5:$C$870,'10.Non-elective admissions -HWB'!$D36,'9.Non-elective admissions - Map'!M$5:M$870)</f>
        <v>6483.1576761740334</v>
      </c>
      <c r="J36" s="384">
        <f>SUMIF('9.Non-elective admissions - Map'!$C$5:$C$870,'10.Non-elective admissions -HWB'!$D36,'9.Non-elective admissions - Map'!N$5:N$870)</f>
        <v>5378.3923815495709</v>
      </c>
      <c r="K36" s="384">
        <f>SUMIF('9.Non-elective admissions - Map'!$C$5:$C$870,'10.Non-elective admissions -HWB'!$D36,'9.Non-elective admissions - Map'!O$5:O$870)</f>
        <v>5329.1627436262079</v>
      </c>
      <c r="L36" s="384">
        <f>SUMIF('9.Non-elective admissions - Map'!$C$5:$C$870,'10.Non-elective admissions -HWB'!$D36,'9.Non-elective admissions - Map'!P$5:P$870)</f>
        <v>5595.9507074343683</v>
      </c>
      <c r="M36" s="384">
        <f>SUMIF('9.Non-elective admissions - Map'!$C$5:$C$870,'10.Non-elective admissions -HWB'!$D36,'9.Non-elective admissions - Map'!Q$5:Q$870)</f>
        <v>5929.9844576598716</v>
      </c>
      <c r="N36" s="384">
        <f>SUMIF('9.Non-elective admissions - Map'!$C$5:$C$870,'10.Non-elective admissions -HWB'!$D36,'9.Non-elective admissions - Map'!R$5:R$870)</f>
        <v>5282.0954272135677</v>
      </c>
      <c r="O36" s="384">
        <f>SUMIF('9.Non-elective admissions - Map'!$C$5:$C$870,'10.Non-elective admissions -HWB'!$D36,'9.Non-elective admissions - Map'!S$5:S$870)</f>
        <v>5236.6289953031192</v>
      </c>
      <c r="P36" s="384">
        <f>SUMIF('9.Non-elective admissions - Map'!$C$5:$C$870,'10.Non-elective admissions -HWB'!$D36,'9.Non-elective admissions - Map'!T$5:T$870)</f>
        <v>5497.6889318182048</v>
      </c>
      <c r="Q36" s="384">
        <f>SUMIF('9.Non-elective admissions - Map'!$C$5:$C$870,'10.Non-elective admissions -HWB'!$D36,'9.Non-elective admissions - Map'!U$5:U$870)</f>
        <v>5825.1269326059528</v>
      </c>
    </row>
    <row r="37" spans="1:17">
      <c r="A37" s="380" t="s">
        <v>1223</v>
      </c>
      <c r="B37" s="381" t="s">
        <v>939</v>
      </c>
      <c r="C37" s="381" t="s">
        <v>940</v>
      </c>
      <c r="D37" s="381" t="s">
        <v>740</v>
      </c>
      <c r="E37" s="382" t="s">
        <v>336</v>
      </c>
      <c r="F37" s="384">
        <f>SUMIF('9.Non-elective admissions - Map'!$C$5:$C$870,'10.Non-elective admissions -HWB'!$D37,'9.Non-elective admissions - Map'!J$5:J$870)</f>
        <v>8143.3884104503923</v>
      </c>
      <c r="G37" s="384">
        <f>SUMIF('9.Non-elective admissions - Map'!$C$5:$C$870,'10.Non-elective admissions -HWB'!$D37,'9.Non-elective admissions - Map'!K$5:K$870)</f>
        <v>8270.7820211050257</v>
      </c>
      <c r="H37" s="384">
        <f>SUMIF('9.Non-elective admissions - Map'!$C$5:$C$870,'10.Non-elective admissions -HWB'!$D37,'9.Non-elective admissions - Map'!L$5:L$870)</f>
        <v>8409.2104224667946</v>
      </c>
      <c r="I37" s="384">
        <f>SUMIF('9.Non-elective admissions - Map'!$C$5:$C$870,'10.Non-elective admissions -HWB'!$D37,'9.Non-elective admissions - Map'!M$5:M$870)</f>
        <v>8779.6105914624441</v>
      </c>
      <c r="J37" s="384">
        <f>SUMIF('9.Non-elective admissions - Map'!$C$5:$C$870,'10.Non-elective admissions -HWB'!$D37,'9.Non-elective admissions - Map'!N$5:N$870)</f>
        <v>8061.8465297042003</v>
      </c>
      <c r="K37" s="384">
        <f>SUMIF('9.Non-elective admissions - Map'!$C$5:$C$870,'10.Non-elective admissions -HWB'!$D37,'9.Non-elective admissions - Map'!O$5:O$870)</f>
        <v>8147.0640609734737</v>
      </c>
      <c r="L37" s="384">
        <f>SUMIF('9.Non-elective admissions - Map'!$C$5:$C$870,'10.Non-elective admissions -HWB'!$D37,'9.Non-elective admissions - Map'!P$5:P$870)</f>
        <v>7890.5288138786027</v>
      </c>
      <c r="M37" s="384">
        <f>SUMIF('9.Non-elective admissions - Map'!$C$5:$C$870,'10.Non-elective admissions -HWB'!$D37,'9.Non-elective admissions - Map'!Q$5:Q$870)</f>
        <v>8358.301849632202</v>
      </c>
      <c r="N37" s="384">
        <f>SUMIF('9.Non-elective admissions - Map'!$C$5:$C$870,'10.Non-elective admissions -HWB'!$D37,'9.Non-elective admissions - Map'!R$5:R$870)</f>
        <v>8082.8088859478521</v>
      </c>
      <c r="O37" s="384">
        <f>SUMIF('9.Non-elective admissions - Map'!$C$5:$C$870,'10.Non-elective admissions -HWB'!$D37,'9.Non-elective admissions - Map'!S$5:S$870)</f>
        <v>8169.0493160995557</v>
      </c>
      <c r="P37" s="384">
        <f>SUMIF('9.Non-elective admissions - Map'!$C$5:$C$870,'10.Non-elective admissions -HWB'!$D37,'9.Non-elective admissions - Map'!T$5:T$870)</f>
        <v>7911.4427894498313</v>
      </c>
      <c r="Q37" s="384">
        <f>SUMIF('9.Non-elective admissions - Map'!$C$5:$C$870,'10.Non-elective admissions -HWB'!$D37,'9.Non-elective admissions - Map'!U$5:U$870)</f>
        <v>8380.0946255664676</v>
      </c>
    </row>
    <row r="38" spans="1:17">
      <c r="A38" s="380" t="s">
        <v>1223</v>
      </c>
      <c r="B38" s="381" t="s">
        <v>939</v>
      </c>
      <c r="C38" s="381" t="s">
        <v>940</v>
      </c>
      <c r="D38" s="381" t="s">
        <v>764</v>
      </c>
      <c r="E38" s="382" t="s">
        <v>408</v>
      </c>
      <c r="F38" s="384">
        <f>SUMIF('9.Non-elective admissions - Map'!$C$5:$C$870,'10.Non-elective admissions -HWB'!$D38,'9.Non-elective admissions - Map'!J$5:J$870)</f>
        <v>4252.0242895842212</v>
      </c>
      <c r="G38" s="384">
        <f>SUMIF('9.Non-elective admissions - Map'!$C$5:$C$870,'10.Non-elective admissions -HWB'!$D38,'9.Non-elective admissions - Map'!K$5:K$870)</f>
        <v>4132.6170550422239</v>
      </c>
      <c r="H38" s="384">
        <f>SUMIF('9.Non-elective admissions - Map'!$C$5:$C$870,'10.Non-elective admissions -HWB'!$D38,'9.Non-elective admissions - Map'!L$5:L$870)</f>
        <v>4268.2798683008923</v>
      </c>
      <c r="I38" s="384">
        <f>SUMIF('9.Non-elective admissions - Map'!$C$5:$C$870,'10.Non-elective admissions -HWB'!$D38,'9.Non-elective admissions - Map'!M$5:M$870)</f>
        <v>4183.8206795690885</v>
      </c>
      <c r="J38" s="384">
        <f>SUMIF('9.Non-elective admissions - Map'!$C$5:$C$870,'10.Non-elective admissions -HWB'!$D38,'9.Non-elective admissions - Map'!N$5:N$870)</f>
        <v>4139.4398667980649</v>
      </c>
      <c r="K38" s="384">
        <f>SUMIF('9.Non-elective admissions - Map'!$C$5:$C$870,'10.Non-elective admissions -HWB'!$D38,'9.Non-elective admissions - Map'!O$5:O$870)</f>
        <v>4008.9689812733918</v>
      </c>
      <c r="L38" s="384">
        <f>SUMIF('9.Non-elective admissions - Map'!$C$5:$C$870,'10.Non-elective admissions -HWB'!$D38,'9.Non-elective admissions - Map'!P$5:P$870)</f>
        <v>4034.2980706971352</v>
      </c>
      <c r="M38" s="384">
        <f>SUMIF('9.Non-elective admissions - Map'!$C$5:$C$870,'10.Non-elective admissions -HWB'!$D38,'9.Non-elective admissions - Map'!Q$5:Q$870)</f>
        <v>4121.6470317392022</v>
      </c>
      <c r="N38" s="384">
        <f>SUMIF('9.Non-elective admissions - Map'!$C$5:$C$870,'10.Non-elective admissions -HWB'!$D38,'9.Non-elective admissions - Map'!R$5:R$870)</f>
        <v>4055.7462203679097</v>
      </c>
      <c r="O38" s="384">
        <f>SUMIF('9.Non-elective admissions - Map'!$C$5:$C$870,'10.Non-elective admissions -HWB'!$D38,'9.Non-elective admissions - Map'!S$5:S$870)</f>
        <v>3929.2326805429407</v>
      </c>
      <c r="P38" s="384">
        <f>SUMIF('9.Non-elective admissions - Map'!$C$5:$C$870,'10.Non-elective admissions -HWB'!$D38,'9.Non-elective admissions - Map'!T$5:T$870)</f>
        <v>3955.5552130305705</v>
      </c>
      <c r="Q38" s="384">
        <f>SUMIF('9.Non-elective admissions - Map'!$C$5:$C$870,'10.Non-elective admissions -HWB'!$D38,'9.Non-elective admissions - Map'!U$5:U$870)</f>
        <v>4039.9293203995935</v>
      </c>
    </row>
    <row r="39" spans="1:17">
      <c r="A39" s="380" t="s">
        <v>1223</v>
      </c>
      <c r="B39" s="381" t="s">
        <v>939</v>
      </c>
      <c r="C39" s="381" t="s">
        <v>940</v>
      </c>
      <c r="D39" s="381" t="s">
        <v>774</v>
      </c>
      <c r="E39" s="382" t="s">
        <v>438</v>
      </c>
      <c r="F39" s="384">
        <f>SUMIF('9.Non-elective admissions - Map'!$C$5:$C$870,'10.Non-elective admissions -HWB'!$D39,'9.Non-elective admissions - Map'!J$5:J$870)</f>
        <v>8984.5220020681845</v>
      </c>
      <c r="G39" s="384">
        <f>SUMIF('9.Non-elective admissions - Map'!$C$5:$C$870,'10.Non-elective admissions -HWB'!$D39,'9.Non-elective admissions - Map'!K$5:K$870)</f>
        <v>7222.120417798229</v>
      </c>
      <c r="H39" s="384">
        <f>SUMIF('9.Non-elective admissions - Map'!$C$5:$C$870,'10.Non-elective admissions -HWB'!$D39,'9.Non-elective admissions - Map'!L$5:L$870)</f>
        <v>7350.8955281445778</v>
      </c>
      <c r="I39" s="384">
        <f>SUMIF('9.Non-elective admissions - Map'!$C$5:$C$870,'10.Non-elective admissions -HWB'!$D39,'9.Non-elective admissions - Map'!M$5:M$870)</f>
        <v>8046.3795563157055</v>
      </c>
      <c r="J39" s="384">
        <f>SUMIF('9.Non-elective admissions - Map'!$C$5:$C$870,'10.Non-elective admissions -HWB'!$D39,'9.Non-elective admissions - Map'!N$5:N$870)</f>
        <v>8023.580370653689</v>
      </c>
      <c r="K39" s="384">
        <f>SUMIF('9.Non-elective admissions - Map'!$C$5:$C$870,'10.Non-elective admissions -HWB'!$D39,'9.Non-elective admissions - Map'!O$5:O$870)</f>
        <v>7927.4446907264519</v>
      </c>
      <c r="L39" s="384">
        <f>SUMIF('9.Non-elective admissions - Map'!$C$5:$C$870,'10.Non-elective admissions -HWB'!$D39,'9.Non-elective admissions - Map'!P$5:P$870)</f>
        <v>8003.5694111850344</v>
      </c>
      <c r="M39" s="384">
        <f>SUMIF('9.Non-elective admissions - Map'!$C$5:$C$870,'10.Non-elective admissions -HWB'!$D39,'9.Non-elective admissions - Map'!Q$5:Q$870)</f>
        <v>7731.8596247549112</v>
      </c>
      <c r="N39" s="384">
        <f>SUMIF('9.Non-elective admissions - Map'!$C$5:$C$870,'10.Non-elective admissions -HWB'!$D39,'9.Non-elective admissions - Map'!R$5:R$870)</f>
        <v>7964.7083612795195</v>
      </c>
      <c r="O39" s="384">
        <f>SUMIF('9.Non-elective admissions - Map'!$C$5:$C$870,'10.Non-elective admissions -HWB'!$D39,'9.Non-elective admissions - Map'!S$5:S$870)</f>
        <v>7865.6139266526261</v>
      </c>
      <c r="P39" s="384">
        <f>SUMIF('9.Non-elective admissions - Map'!$C$5:$C$870,'10.Non-elective admissions -HWB'!$D39,'9.Non-elective admissions - Map'!T$5:T$870)</f>
        <v>7941.7541498338851</v>
      </c>
      <c r="Q39" s="384">
        <f>SUMIF('9.Non-elective admissions - Map'!$C$5:$C$870,'10.Non-elective admissions -HWB'!$D39,'9.Non-elective admissions - Map'!U$5:U$870)</f>
        <v>7671.004777099185</v>
      </c>
    </row>
    <row r="40" spans="1:17">
      <c r="A40" s="380" t="s">
        <v>1223</v>
      </c>
      <c r="B40" s="381" t="s">
        <v>943</v>
      </c>
      <c r="C40" s="381" t="s">
        <v>944</v>
      </c>
      <c r="D40" s="381" t="s">
        <v>689</v>
      </c>
      <c r="E40" s="382" t="s">
        <v>169</v>
      </c>
      <c r="F40" s="384">
        <f>SUMIF('9.Non-elective admissions - Map'!$C$5:$C$870,'10.Non-elective admissions -HWB'!$D40,'9.Non-elective admissions - Map'!J$5:J$870)</f>
        <v>8389.8489541214221</v>
      </c>
      <c r="G40" s="384">
        <f>SUMIF('9.Non-elective admissions - Map'!$C$5:$C$870,'10.Non-elective admissions -HWB'!$D40,'9.Non-elective admissions - Map'!K$5:K$870)</f>
        <v>8094.0917988225719</v>
      </c>
      <c r="H40" s="384">
        <f>SUMIF('9.Non-elective admissions - Map'!$C$5:$C$870,'10.Non-elective admissions -HWB'!$D40,'9.Non-elective admissions - Map'!L$5:L$870)</f>
        <v>8291.9013606694079</v>
      </c>
      <c r="I40" s="384">
        <f>SUMIF('9.Non-elective admissions - Map'!$C$5:$C$870,'10.Non-elective admissions -HWB'!$D40,'9.Non-elective admissions - Map'!M$5:M$870)</f>
        <v>8281.2800566917322</v>
      </c>
      <c r="J40" s="384">
        <f>SUMIF('9.Non-elective admissions - Map'!$C$5:$C$870,'10.Non-elective admissions -HWB'!$D40,'9.Non-elective admissions - Map'!N$5:N$870)</f>
        <v>8199.4642016441394</v>
      </c>
      <c r="K40" s="384">
        <f>SUMIF('9.Non-elective admissions - Map'!$C$5:$C$870,'10.Non-elective admissions -HWB'!$D40,'9.Non-elective admissions - Map'!O$5:O$870)</f>
        <v>8274.8008336500752</v>
      </c>
      <c r="L40" s="384">
        <f>SUMIF('9.Non-elective admissions - Map'!$C$5:$C$870,'10.Non-elective admissions -HWB'!$D40,'9.Non-elective admissions - Map'!P$5:P$870)</f>
        <v>8263.099442282688</v>
      </c>
      <c r="M40" s="384">
        <f>SUMIF('9.Non-elective admissions - Map'!$C$5:$C$870,'10.Non-elective admissions -HWB'!$D40,'9.Non-elective admissions - Map'!Q$5:Q$870)</f>
        <v>8074.492414916399</v>
      </c>
      <c r="N40" s="384">
        <f>SUMIF('9.Non-elective admissions - Map'!$C$5:$C$870,'10.Non-elective admissions -HWB'!$D40,'9.Non-elective admissions - Map'!R$5:R$870)</f>
        <v>8260.3619894537023</v>
      </c>
      <c r="O40" s="384">
        <f>SUMIF('9.Non-elective admissions - Map'!$C$5:$C$870,'10.Non-elective admissions -HWB'!$D40,'9.Non-elective admissions - Map'!S$5:S$870)</f>
        <v>8357.6122389562206</v>
      </c>
      <c r="P40" s="384">
        <f>SUMIF('9.Non-elective admissions - Map'!$C$5:$C$870,'10.Non-elective admissions -HWB'!$D40,'9.Non-elective admissions - Map'!T$5:T$870)</f>
        <v>8357.3792081977208</v>
      </c>
      <c r="Q40" s="384">
        <f>SUMIF('9.Non-elective admissions - Map'!$C$5:$C$870,'10.Non-elective admissions -HWB'!$D40,'9.Non-elective admissions - Map'!U$5:U$870)</f>
        <v>8182.7224112014956</v>
      </c>
    </row>
    <row r="41" spans="1:17">
      <c r="A41" s="380" t="s">
        <v>1223</v>
      </c>
      <c r="B41" s="381" t="s">
        <v>943</v>
      </c>
      <c r="C41" s="381" t="s">
        <v>944</v>
      </c>
      <c r="D41" s="381" t="s">
        <v>713</v>
      </c>
      <c r="E41" s="382" t="s">
        <v>255</v>
      </c>
      <c r="F41" s="384">
        <f>SUMIF('9.Non-elective admissions - Map'!$C$5:$C$870,'10.Non-elective admissions -HWB'!$D41,'9.Non-elective admissions - Map'!J$5:J$870)</f>
        <v>7332.1048712252423</v>
      </c>
      <c r="G41" s="384">
        <f>SUMIF('9.Non-elective admissions - Map'!$C$5:$C$870,'10.Non-elective admissions -HWB'!$D41,'9.Non-elective admissions - Map'!K$5:K$870)</f>
        <v>7187.9490677592039</v>
      </c>
      <c r="H41" s="384">
        <f>SUMIF('9.Non-elective admissions - Map'!$C$5:$C$870,'10.Non-elective admissions -HWB'!$D41,'9.Non-elective admissions - Map'!L$5:L$870)</f>
        <v>7430.5224093445377</v>
      </c>
      <c r="I41" s="384">
        <f>SUMIF('9.Non-elective admissions - Map'!$C$5:$C$870,'10.Non-elective admissions -HWB'!$D41,'9.Non-elective admissions - Map'!M$5:M$870)</f>
        <v>7681.9831950083917</v>
      </c>
      <c r="J41" s="384">
        <f>SUMIF('9.Non-elective admissions - Map'!$C$5:$C$870,'10.Non-elective admissions -HWB'!$D41,'9.Non-elective admissions - Map'!N$5:N$870)</f>
        <v>7506.6977599598385</v>
      </c>
      <c r="K41" s="384">
        <f>SUMIF('9.Non-elective admissions - Map'!$C$5:$C$870,'10.Non-elective admissions -HWB'!$D41,'9.Non-elective admissions - Map'!O$5:O$870)</f>
        <v>7594.4051940163363</v>
      </c>
      <c r="L41" s="384">
        <f>SUMIF('9.Non-elective admissions - Map'!$C$5:$C$870,'10.Non-elective admissions -HWB'!$D41,'9.Non-elective admissions - Map'!P$5:P$870)</f>
        <v>7592.1686111675217</v>
      </c>
      <c r="M41" s="384">
        <f>SUMIF('9.Non-elective admissions - Map'!$C$5:$C$870,'10.Non-elective admissions -HWB'!$D41,'9.Non-elective admissions - Map'!Q$5:Q$870)</f>
        <v>7427.9366572079916</v>
      </c>
      <c r="N41" s="384">
        <f>SUMIF('9.Non-elective admissions - Map'!$C$5:$C$870,'10.Non-elective admissions -HWB'!$D41,'9.Non-elective admissions - Map'!R$5:R$870)</f>
        <v>7561.4818654028459</v>
      </c>
      <c r="O41" s="384">
        <f>SUMIF('9.Non-elective admissions - Map'!$C$5:$C$870,'10.Non-elective admissions -HWB'!$D41,'9.Non-elective admissions - Map'!S$5:S$870)</f>
        <v>7649.8659586899385</v>
      </c>
      <c r="P41" s="384">
        <f>SUMIF('9.Non-elective admissions - Map'!$C$5:$C$870,'10.Non-elective admissions -HWB'!$D41,'9.Non-elective admissions - Map'!T$5:T$870)</f>
        <v>7647.6186744874385</v>
      </c>
      <c r="Q41" s="384">
        <f>SUMIF('9.Non-elective admissions - Map'!$C$5:$C$870,'10.Non-elective admissions -HWB'!$D41,'9.Non-elective admissions - Map'!U$5:U$870)</f>
        <v>7562.6778118471475</v>
      </c>
    </row>
    <row r="42" spans="1:17">
      <c r="A42" s="380" t="s">
        <v>1223</v>
      </c>
      <c r="B42" s="381" t="s">
        <v>943</v>
      </c>
      <c r="C42" s="381" t="s">
        <v>944</v>
      </c>
      <c r="D42" s="381" t="s">
        <v>734</v>
      </c>
      <c r="E42" s="382" t="s">
        <v>318</v>
      </c>
      <c r="F42" s="384">
        <f>SUMIF('9.Non-elective admissions - Map'!$C$5:$C$870,'10.Non-elective admissions -HWB'!$D42,'9.Non-elective admissions - Map'!J$5:J$870)</f>
        <v>3443.9103441880502</v>
      </c>
      <c r="G42" s="384">
        <f>SUMIF('9.Non-elective admissions - Map'!$C$5:$C$870,'10.Non-elective admissions -HWB'!$D42,'9.Non-elective admissions - Map'!K$5:K$870)</f>
        <v>3540.9974372924216</v>
      </c>
      <c r="H42" s="384">
        <f>SUMIF('9.Non-elective admissions - Map'!$C$5:$C$870,'10.Non-elective admissions -HWB'!$D42,'9.Non-elective admissions - Map'!L$5:L$870)</f>
        <v>3550.7900787295557</v>
      </c>
      <c r="I42" s="384">
        <f>SUMIF('9.Non-elective admissions - Map'!$C$5:$C$870,'10.Non-elective admissions -HWB'!$D42,'9.Non-elective admissions - Map'!M$5:M$870)</f>
        <v>3690.8044977964923</v>
      </c>
      <c r="J42" s="384">
        <f>SUMIF('9.Non-elective admissions - Map'!$C$5:$C$870,'10.Non-elective admissions -HWB'!$D42,'9.Non-elective admissions - Map'!N$5:N$870)</f>
        <v>3474.5892253859406</v>
      </c>
      <c r="K42" s="384">
        <f>SUMIF('9.Non-elective admissions - Map'!$C$5:$C$870,'10.Non-elective admissions -HWB'!$D42,'9.Non-elective admissions - Map'!O$5:O$870)</f>
        <v>3533.6572664129144</v>
      </c>
      <c r="L42" s="384">
        <f>SUMIF('9.Non-elective admissions - Map'!$C$5:$C$870,'10.Non-elective admissions -HWB'!$D42,'9.Non-elective admissions - Map'!P$5:P$870)</f>
        <v>3506.3789008029944</v>
      </c>
      <c r="M42" s="384">
        <f>SUMIF('9.Non-elective admissions - Map'!$C$5:$C$870,'10.Non-elective admissions -HWB'!$D42,'9.Non-elective admissions - Map'!Q$5:Q$870)</f>
        <v>3424.0048397889013</v>
      </c>
      <c r="N42" s="384">
        <f>SUMIF('9.Non-elective admissions - Map'!$C$5:$C$870,'10.Non-elective admissions -HWB'!$D42,'9.Non-elective admissions - Map'!R$5:R$870)</f>
        <v>3439.3222919156196</v>
      </c>
      <c r="O42" s="384">
        <f>SUMIF('9.Non-elective admissions - Map'!$C$5:$C$870,'10.Non-elective admissions -HWB'!$D42,'9.Non-elective admissions - Map'!S$5:S$870)</f>
        <v>3530.1234505555722</v>
      </c>
      <c r="P42" s="384">
        <f>SUMIF('9.Non-elective admissions - Map'!$C$5:$C$870,'10.Non-elective admissions -HWB'!$D42,'9.Non-elective admissions - Map'!T$5:T$870)</f>
        <v>3530.3751009124726</v>
      </c>
      <c r="Q42" s="384">
        <f>SUMIF('9.Non-elective admissions - Map'!$C$5:$C$870,'10.Non-elective admissions -HWB'!$D42,'9.Non-elective admissions - Map'!U$5:U$870)</f>
        <v>3438.4450471129612</v>
      </c>
    </row>
    <row r="43" spans="1:17">
      <c r="A43" s="380" t="s">
        <v>1223</v>
      </c>
      <c r="B43" s="381" t="s">
        <v>943</v>
      </c>
      <c r="C43" s="381" t="s">
        <v>944</v>
      </c>
      <c r="D43" s="381" t="s">
        <v>735</v>
      </c>
      <c r="E43" s="382" t="s">
        <v>321</v>
      </c>
      <c r="F43" s="384">
        <f>SUMIF('9.Non-elective admissions - Map'!$C$5:$C$870,'10.Non-elective admissions -HWB'!$D43,'9.Non-elective admissions - Map'!J$5:J$870)</f>
        <v>4348.7499468445694</v>
      </c>
      <c r="G43" s="384">
        <f>SUMIF('9.Non-elective admissions - Map'!$C$5:$C$870,'10.Non-elective admissions -HWB'!$D43,'9.Non-elective admissions - Map'!K$5:K$870)</f>
        <v>4456.1043421424247</v>
      </c>
      <c r="H43" s="384">
        <f>SUMIF('9.Non-elective admissions - Map'!$C$5:$C$870,'10.Non-elective admissions -HWB'!$D43,'9.Non-elective admissions - Map'!L$5:L$870)</f>
        <v>4640.1637816329485</v>
      </c>
      <c r="I43" s="384">
        <f>SUMIF('9.Non-elective admissions - Map'!$C$5:$C$870,'10.Non-elective admissions -HWB'!$D43,'9.Non-elective admissions - Map'!M$5:M$870)</f>
        <v>4648.7280706675447</v>
      </c>
      <c r="J43" s="384">
        <f>SUMIF('9.Non-elective admissions - Map'!$C$5:$C$870,'10.Non-elective admissions -HWB'!$D43,'9.Non-elective admissions - Map'!N$5:N$870)</f>
        <v>4138.7293016920057</v>
      </c>
      <c r="K43" s="384">
        <f>SUMIF('9.Non-elective admissions - Map'!$C$5:$C$870,'10.Non-elective admissions -HWB'!$D43,'9.Non-elective admissions - Map'!O$5:O$870)</f>
        <v>4183.9261003206084</v>
      </c>
      <c r="L43" s="384">
        <f>SUMIF('9.Non-elective admissions - Map'!$C$5:$C$870,'10.Non-elective admissions -HWB'!$D43,'9.Non-elective admissions - Map'!P$5:P$870)</f>
        <v>4185.6176638278712</v>
      </c>
      <c r="M43" s="384">
        <f>SUMIF('9.Non-elective admissions - Map'!$C$5:$C$870,'10.Non-elective admissions -HWB'!$D43,'9.Non-elective admissions - Map'!Q$5:Q$870)</f>
        <v>4094.462172653331</v>
      </c>
      <c r="N43" s="384">
        <f>SUMIF('9.Non-elective admissions - Map'!$C$5:$C$870,'10.Non-elective admissions -HWB'!$D43,'9.Non-elective admissions - Map'!R$5:R$870)</f>
        <v>3547.2440803840982</v>
      </c>
      <c r="O43" s="384">
        <f>SUMIF('9.Non-elective admissions - Map'!$C$5:$C$870,'10.Non-elective admissions -HWB'!$D43,'9.Non-elective admissions - Map'!S$5:S$870)</f>
        <v>3583.8577326531185</v>
      </c>
      <c r="P43" s="384">
        <f>SUMIF('9.Non-elective admissions - Map'!$C$5:$C$870,'10.Non-elective admissions -HWB'!$D43,'9.Non-elective admissions - Map'!T$5:T$870)</f>
        <v>3584.5813616588184</v>
      </c>
      <c r="Q43" s="384">
        <f>SUMIF('9.Non-elective admissions - Map'!$C$5:$C$870,'10.Non-elective admissions -HWB'!$D43,'9.Non-elective admissions - Map'!U$5:U$870)</f>
        <v>3512.6236893117953</v>
      </c>
    </row>
    <row r="44" spans="1:17">
      <c r="A44" s="380" t="s">
        <v>1223</v>
      </c>
      <c r="B44" s="381" t="s">
        <v>943</v>
      </c>
      <c r="C44" s="381" t="s">
        <v>944</v>
      </c>
      <c r="D44" s="381" t="s">
        <v>738</v>
      </c>
      <c r="E44" s="382" t="s">
        <v>330</v>
      </c>
      <c r="F44" s="384">
        <f>SUMIF('9.Non-elective admissions - Map'!$C$5:$C$870,'10.Non-elective admissions -HWB'!$D44,'9.Non-elective admissions - Map'!J$5:J$870)</f>
        <v>15492.781547760082</v>
      </c>
      <c r="G44" s="384">
        <f>SUMIF('9.Non-elective admissions - Map'!$C$5:$C$870,'10.Non-elective admissions -HWB'!$D44,'9.Non-elective admissions - Map'!K$5:K$870)</f>
        <v>14306.174767886989</v>
      </c>
      <c r="H44" s="384">
        <f>SUMIF('9.Non-elective admissions - Map'!$C$5:$C$870,'10.Non-elective admissions -HWB'!$D44,'9.Non-elective admissions - Map'!L$5:L$870)</f>
        <v>14859.583952527568</v>
      </c>
      <c r="I44" s="384">
        <f>SUMIF('9.Non-elective admissions - Map'!$C$5:$C$870,'10.Non-elective admissions -HWB'!$D44,'9.Non-elective admissions - Map'!M$5:M$870)</f>
        <v>14887.995632118183</v>
      </c>
      <c r="J44" s="384">
        <f>SUMIF('9.Non-elective admissions - Map'!$C$5:$C$870,'10.Non-elective admissions -HWB'!$D44,'9.Non-elective admissions - Map'!N$5:N$870)</f>
        <v>13849.974250160383</v>
      </c>
      <c r="K44" s="384">
        <f>SUMIF('9.Non-elective admissions - Map'!$C$5:$C$870,'10.Non-elective admissions -HWB'!$D44,'9.Non-elective admissions - Map'!O$5:O$870)</f>
        <v>14253.906016608684</v>
      </c>
      <c r="L44" s="384">
        <f>SUMIF('9.Non-elective admissions - Map'!$C$5:$C$870,'10.Non-elective admissions -HWB'!$D44,'9.Non-elective admissions - Map'!P$5:P$870)</f>
        <v>14417.023884851385</v>
      </c>
      <c r="M44" s="384">
        <f>SUMIF('9.Non-elective admissions - Map'!$C$5:$C$870,'10.Non-elective admissions -HWB'!$D44,'9.Non-elective admissions - Map'!Q$5:Q$870)</f>
        <v>14040.704550187736</v>
      </c>
      <c r="N44" s="384">
        <f>SUMIF('9.Non-elective admissions - Map'!$C$5:$C$870,'10.Non-elective admissions -HWB'!$D44,'9.Non-elective admissions - Map'!R$5:R$870)</f>
        <v>13649.108798627714</v>
      </c>
      <c r="O44" s="384">
        <f>SUMIF('9.Non-elective admissions - Map'!$C$5:$C$870,'10.Non-elective admissions -HWB'!$D44,'9.Non-elective admissions - Map'!S$5:S$870)</f>
        <v>13833.28839298787</v>
      </c>
      <c r="P44" s="384">
        <f>SUMIF('9.Non-elective admissions - Map'!$C$5:$C$870,'10.Non-elective admissions -HWB'!$D44,'9.Non-elective admissions - Map'!T$5:T$870)</f>
        <v>14134.732316601285</v>
      </c>
      <c r="Q44" s="384">
        <f>SUMIF('9.Non-elective admissions - Map'!$C$5:$C$870,'10.Non-elective admissions -HWB'!$D44,'9.Non-elective admissions - Map'!U$5:U$870)</f>
        <v>13866.030230529828</v>
      </c>
    </row>
    <row r="45" spans="1:17">
      <c r="A45" s="380" t="s">
        <v>1223</v>
      </c>
      <c r="B45" s="381" t="s">
        <v>943</v>
      </c>
      <c r="C45" s="381" t="s">
        <v>944</v>
      </c>
      <c r="D45" s="381" t="s">
        <v>800</v>
      </c>
      <c r="E45" s="382" t="s">
        <v>516</v>
      </c>
      <c r="F45" s="384">
        <f>SUMIF('9.Non-elective admissions - Map'!$C$5:$C$870,'10.Non-elective admissions -HWB'!$D45,'9.Non-elective admissions - Map'!J$5:J$870)</f>
        <v>5747.5209915555861</v>
      </c>
      <c r="G45" s="384">
        <f>SUMIF('9.Non-elective admissions - Map'!$C$5:$C$870,'10.Non-elective admissions -HWB'!$D45,'9.Non-elective admissions - Map'!K$5:K$870)</f>
        <v>5091.3590276975228</v>
      </c>
      <c r="H45" s="384">
        <f>SUMIF('9.Non-elective admissions - Map'!$C$5:$C$870,'10.Non-elective admissions -HWB'!$D45,'9.Non-elective admissions - Map'!L$5:L$870)</f>
        <v>4998.3479879644547</v>
      </c>
      <c r="I45" s="384">
        <f>SUMIF('9.Non-elective admissions - Map'!$C$5:$C$870,'10.Non-elective admissions -HWB'!$D45,'9.Non-elective admissions - Map'!M$5:M$870)</f>
        <v>4957.2106521555252</v>
      </c>
      <c r="J45" s="384">
        <f>SUMIF('9.Non-elective admissions - Map'!$C$5:$C$870,'10.Non-elective admissions -HWB'!$D45,'9.Non-elective admissions - Map'!N$5:N$870)</f>
        <v>4988.4568911621327</v>
      </c>
      <c r="K45" s="384">
        <f>SUMIF('9.Non-elective admissions - Map'!$C$5:$C$870,'10.Non-elective admissions -HWB'!$D45,'9.Non-elective admissions - Map'!O$5:O$870)</f>
        <v>4868.2721370481622</v>
      </c>
      <c r="L45" s="384">
        <f>SUMIF('9.Non-elective admissions - Map'!$C$5:$C$870,'10.Non-elective admissions -HWB'!$D45,'9.Non-elective admissions - Map'!P$5:P$870)</f>
        <v>4763.3469410799371</v>
      </c>
      <c r="M45" s="384">
        <f>SUMIF('9.Non-elective admissions - Map'!$C$5:$C$870,'10.Non-elective admissions -HWB'!$D45,'9.Non-elective admissions - Map'!Q$5:Q$870)</f>
        <v>4614.9642862801702</v>
      </c>
      <c r="N45" s="384">
        <f>SUMIF('9.Non-elective admissions - Map'!$C$5:$C$870,'10.Non-elective admissions -HWB'!$D45,'9.Non-elective admissions - Map'!R$5:R$870)</f>
        <v>4495.6698193398106</v>
      </c>
      <c r="O45" s="384">
        <f>SUMIF('9.Non-elective admissions - Map'!$C$5:$C$870,'10.Non-elective admissions -HWB'!$D45,'9.Non-elective admissions - Map'!S$5:S$870)</f>
        <v>4545.0859138129827</v>
      </c>
      <c r="P45" s="384">
        <f>SUMIF('9.Non-elective admissions - Map'!$C$5:$C$870,'10.Non-elective admissions -HWB'!$D45,'9.Non-elective admissions - Map'!T$5:T$870)</f>
        <v>4545.3190124830471</v>
      </c>
      <c r="Q45" s="384">
        <f>SUMIF('9.Non-elective admissions - Map'!$C$5:$C$870,'10.Non-elective admissions -HWB'!$D45,'9.Non-elective admissions - Map'!U$5:U$870)</f>
        <v>4495.7274943001894</v>
      </c>
    </row>
    <row r="46" spans="1:17">
      <c r="A46" s="380" t="s">
        <v>1223</v>
      </c>
      <c r="B46" s="381" t="s">
        <v>901</v>
      </c>
      <c r="C46" s="381" t="s">
        <v>902</v>
      </c>
      <c r="D46" s="381" t="s">
        <v>652</v>
      </c>
      <c r="E46" s="382" t="s">
        <v>23</v>
      </c>
      <c r="F46" s="384">
        <f>SUMIF('9.Non-elective admissions - Map'!$C$5:$C$870,'10.Non-elective admissions -HWB'!$D46,'9.Non-elective admissions - Map'!J$5:J$870)</f>
        <v>7421.2506376185711</v>
      </c>
      <c r="G46" s="384">
        <f>SUMIF('9.Non-elective admissions - Map'!$C$5:$C$870,'10.Non-elective admissions -HWB'!$D46,'9.Non-elective admissions - Map'!K$5:K$870)</f>
        <v>7152.8742109912282</v>
      </c>
      <c r="H46" s="384">
        <f>SUMIF('9.Non-elective admissions - Map'!$C$5:$C$870,'10.Non-elective admissions -HWB'!$D46,'9.Non-elective admissions - Map'!L$5:L$870)</f>
        <v>7488.9224787999801</v>
      </c>
      <c r="I46" s="384">
        <f>SUMIF('9.Non-elective admissions - Map'!$C$5:$C$870,'10.Non-elective admissions -HWB'!$D46,'9.Non-elective admissions - Map'!M$5:M$870)</f>
        <v>7750.4454340661368</v>
      </c>
      <c r="J46" s="384">
        <f>SUMIF('9.Non-elective admissions - Map'!$C$5:$C$870,'10.Non-elective admissions -HWB'!$D46,'9.Non-elective admissions - Map'!N$5:N$870)</f>
        <v>7553.6394038308399</v>
      </c>
      <c r="K46" s="384">
        <f>SUMIF('9.Non-elective admissions - Map'!$C$5:$C$870,'10.Non-elective admissions -HWB'!$D46,'9.Non-elective admissions - Map'!O$5:O$870)</f>
        <v>7279.5567139419354</v>
      </c>
      <c r="L46" s="384">
        <f>SUMIF('9.Non-elective admissions - Map'!$C$5:$C$870,'10.Non-elective admissions -HWB'!$D46,'9.Non-elective admissions - Map'!P$5:P$870)</f>
        <v>7613.6349850521292</v>
      </c>
      <c r="M46" s="384">
        <f>SUMIF('9.Non-elective admissions - Map'!$C$5:$C$870,'10.Non-elective admissions -HWB'!$D46,'9.Non-elective admissions - Map'!Q$5:Q$870)</f>
        <v>7585.4545521417222</v>
      </c>
      <c r="N46" s="384">
        <f>SUMIF('9.Non-elective admissions - Map'!$C$5:$C$870,'10.Non-elective admissions -HWB'!$D46,'9.Non-elective admissions - Map'!R$5:R$870)</f>
        <v>7771.6556287453623</v>
      </c>
      <c r="O46" s="384">
        <f>SUMIF('9.Non-elective admissions - Map'!$C$5:$C$870,'10.Non-elective admissions -HWB'!$D46,'9.Non-elective admissions - Map'!S$5:S$870)</f>
        <v>7490.0199437429574</v>
      </c>
      <c r="P46" s="384">
        <f>SUMIF('9.Non-elective admissions - Map'!$C$5:$C$870,'10.Non-elective admissions -HWB'!$D46,'9.Non-elective admissions - Map'!T$5:T$870)</f>
        <v>7832.566315510363</v>
      </c>
      <c r="Q46" s="384">
        <f>SUMIF('9.Non-elective admissions - Map'!$C$5:$C$870,'10.Non-elective admissions -HWB'!$D46,'9.Non-elective admissions - Map'!U$5:U$870)</f>
        <v>7803.678328498243</v>
      </c>
    </row>
    <row r="47" spans="1:17">
      <c r="A47" s="380" t="s">
        <v>1223</v>
      </c>
      <c r="B47" s="381" t="s">
        <v>901</v>
      </c>
      <c r="C47" s="381" t="s">
        <v>902</v>
      </c>
      <c r="D47" s="381" t="s">
        <v>685</v>
      </c>
      <c r="E47" s="382" t="s">
        <v>154</v>
      </c>
      <c r="F47" s="384">
        <f>SUMIF('9.Non-elective admissions - Map'!$C$5:$C$870,'10.Non-elective admissions -HWB'!$D47,'9.Non-elective admissions - Map'!J$5:J$870)</f>
        <v>9317.6727603776562</v>
      </c>
      <c r="G47" s="384">
        <f>SUMIF('9.Non-elective admissions - Map'!$C$5:$C$870,'10.Non-elective admissions -HWB'!$D47,'9.Non-elective admissions - Map'!K$5:K$870)</f>
        <v>9575.2737596969364</v>
      </c>
      <c r="H47" s="384">
        <f>SUMIF('9.Non-elective admissions - Map'!$C$5:$C$870,'10.Non-elective admissions -HWB'!$D47,'9.Non-elective admissions - Map'!L$5:L$870)</f>
        <v>9520.7054611712774</v>
      </c>
      <c r="I47" s="384">
        <f>SUMIF('9.Non-elective admissions - Map'!$C$5:$C$870,'10.Non-elective admissions -HWB'!$D47,'9.Non-elective admissions - Map'!M$5:M$870)</f>
        <v>9596.003839993582</v>
      </c>
      <c r="J47" s="384">
        <f>SUMIF('9.Non-elective admissions - Map'!$C$5:$C$870,'10.Non-elective admissions -HWB'!$D47,'9.Non-elective admissions - Map'!N$5:N$870)</f>
        <v>9194.9988719008543</v>
      </c>
      <c r="K47" s="384">
        <f>SUMIF('9.Non-elective admissions - Map'!$C$5:$C$870,'10.Non-elective admissions -HWB'!$D47,'9.Non-elective admissions - Map'!O$5:O$870)</f>
        <v>9295.3111847636646</v>
      </c>
      <c r="L47" s="384">
        <f>SUMIF('9.Non-elective admissions - Map'!$C$5:$C$870,'10.Non-elective admissions -HWB'!$D47,'9.Non-elective admissions - Map'!P$5:P$870)</f>
        <v>9407.7127221687115</v>
      </c>
      <c r="M47" s="384">
        <f>SUMIF('9.Non-elective admissions - Map'!$C$5:$C$870,'10.Non-elective admissions -HWB'!$D47,'9.Non-elective admissions - Map'!Q$5:Q$870)</f>
        <v>9015.8307625094949</v>
      </c>
      <c r="N47" s="384">
        <f>SUMIF('9.Non-elective admissions - Map'!$C$5:$C$870,'10.Non-elective admissions -HWB'!$D47,'9.Non-elective admissions - Map'!R$5:R$870)</f>
        <v>9132.1458509666663</v>
      </c>
      <c r="O47" s="384">
        <f>SUMIF('9.Non-elective admissions - Map'!$C$5:$C$870,'10.Non-elective admissions -HWB'!$D47,'9.Non-elective admissions - Map'!S$5:S$870)</f>
        <v>9230.5258766881925</v>
      </c>
      <c r="P47" s="384">
        <f>SUMIF('9.Non-elective admissions - Map'!$C$5:$C$870,'10.Non-elective admissions -HWB'!$D47,'9.Non-elective admissions - Map'!T$5:T$870)</f>
        <v>9341.0481718148149</v>
      </c>
      <c r="Q47" s="384">
        <f>SUMIF('9.Non-elective admissions - Map'!$C$5:$C$870,'10.Non-elective admissions -HWB'!$D47,'9.Non-elective admissions - Map'!U$5:U$870)</f>
        <v>9041.3537920237577</v>
      </c>
    </row>
    <row r="48" spans="1:17">
      <c r="A48" s="380" t="s">
        <v>1223</v>
      </c>
      <c r="B48" s="381" t="s">
        <v>901</v>
      </c>
      <c r="C48" s="381" t="s">
        <v>902</v>
      </c>
      <c r="D48" s="381" t="s">
        <v>753</v>
      </c>
      <c r="E48" s="382" t="s">
        <v>375</v>
      </c>
      <c r="F48" s="384">
        <f>SUMIF('9.Non-elective admissions - Map'!$C$5:$C$870,'10.Non-elective admissions -HWB'!$D48,'9.Non-elective admissions - Map'!J$5:J$870)</f>
        <v>7241.4770141846211</v>
      </c>
      <c r="G48" s="384">
        <f>SUMIF('9.Non-elective admissions - Map'!$C$5:$C$870,'10.Non-elective admissions -HWB'!$D48,'9.Non-elective admissions - Map'!K$5:K$870)</f>
        <v>7287.7422452752735</v>
      </c>
      <c r="H48" s="384">
        <f>SUMIF('9.Non-elective admissions - Map'!$C$5:$C$870,'10.Non-elective admissions -HWB'!$D48,'9.Non-elective admissions - Map'!L$5:L$870)</f>
        <v>7744.0521512722135</v>
      </c>
      <c r="I48" s="384">
        <f>SUMIF('9.Non-elective admissions - Map'!$C$5:$C$870,'10.Non-elective admissions -HWB'!$D48,'9.Non-elective admissions - Map'!M$5:M$870)</f>
        <v>7446.8943625987222</v>
      </c>
      <c r="J48" s="384">
        <f>SUMIF('9.Non-elective admissions - Map'!$C$5:$C$870,'10.Non-elective admissions -HWB'!$D48,'9.Non-elective admissions - Map'!N$5:N$870)</f>
        <v>7278.8035177351794</v>
      </c>
      <c r="K48" s="384">
        <f>SUMIF('9.Non-elective admissions - Map'!$C$5:$C$870,'10.Non-elective admissions -HWB'!$D48,'9.Non-elective admissions - Map'!O$5:O$870)</f>
        <v>7344.7979802501859</v>
      </c>
      <c r="L48" s="384">
        <f>SUMIF('9.Non-elective admissions - Map'!$C$5:$C$870,'10.Non-elective admissions -HWB'!$D48,'9.Non-elective admissions - Map'!P$5:P$870)</f>
        <v>7365.8659955455951</v>
      </c>
      <c r="M48" s="384">
        <f>SUMIF('9.Non-elective admissions - Map'!$C$5:$C$870,'10.Non-elective admissions -HWB'!$D48,'9.Non-elective admissions - Map'!Q$5:Q$870)</f>
        <v>7210.1825197736416</v>
      </c>
      <c r="N48" s="384">
        <f>SUMIF('9.Non-elective admissions - Map'!$C$5:$C$870,'10.Non-elective admissions -HWB'!$D48,'9.Non-elective admissions - Map'!R$5:R$870)</f>
        <v>7283.7663037769216</v>
      </c>
      <c r="O48" s="384">
        <f>SUMIF('9.Non-elective admissions - Map'!$C$5:$C$870,'10.Non-elective admissions -HWB'!$D48,'9.Non-elective admissions - Map'!S$5:S$870)</f>
        <v>7349.5067882382646</v>
      </c>
      <c r="P48" s="384">
        <f>SUMIF('9.Non-elective admissions - Map'!$C$5:$C$870,'10.Non-elective admissions -HWB'!$D48,'9.Non-elective admissions - Map'!T$5:T$870)</f>
        <v>7370.6654210416182</v>
      </c>
      <c r="Q48" s="384">
        <f>SUMIF('9.Non-elective admissions - Map'!$C$5:$C$870,'10.Non-elective admissions -HWB'!$D48,'9.Non-elective admissions - Map'!U$5:U$870)</f>
        <v>7215.6745135241799</v>
      </c>
    </row>
    <row r="49" spans="1:17">
      <c r="A49" s="380" t="s">
        <v>1223</v>
      </c>
      <c r="B49" s="381" t="s">
        <v>901</v>
      </c>
      <c r="C49" s="381" t="s">
        <v>902</v>
      </c>
      <c r="D49" s="381" t="s">
        <v>758</v>
      </c>
      <c r="E49" s="382" t="s">
        <v>390</v>
      </c>
      <c r="F49" s="384">
        <f>SUMIF('9.Non-elective admissions - Map'!$C$5:$C$870,'10.Non-elective admissions -HWB'!$D49,'9.Non-elective admissions - Map'!J$5:J$870)</f>
        <v>15501.67949524205</v>
      </c>
      <c r="G49" s="384">
        <f>SUMIF('9.Non-elective admissions - Map'!$C$5:$C$870,'10.Non-elective admissions -HWB'!$D49,'9.Non-elective admissions - Map'!K$5:K$870)</f>
        <v>14832.42008193432</v>
      </c>
      <c r="H49" s="384">
        <f>SUMIF('9.Non-elective admissions - Map'!$C$5:$C$870,'10.Non-elective admissions -HWB'!$D49,'9.Non-elective admissions - Map'!L$5:L$870)</f>
        <v>16046.942985682403</v>
      </c>
      <c r="I49" s="384">
        <f>SUMIF('9.Non-elective admissions - Map'!$C$5:$C$870,'10.Non-elective admissions -HWB'!$D49,'9.Non-elective admissions - Map'!M$5:M$870)</f>
        <v>15351.33576239749</v>
      </c>
      <c r="J49" s="384">
        <f>SUMIF('9.Non-elective admissions - Map'!$C$5:$C$870,'10.Non-elective admissions -HWB'!$D49,'9.Non-elective admissions - Map'!N$5:N$870)</f>
        <v>13714.424662373413</v>
      </c>
      <c r="K49" s="384">
        <f>SUMIF('9.Non-elective admissions - Map'!$C$5:$C$870,'10.Non-elective admissions -HWB'!$D49,'9.Non-elective admissions - Map'!O$5:O$870)</f>
        <v>13808.786392878261</v>
      </c>
      <c r="L49" s="384">
        <f>SUMIF('9.Non-elective admissions - Map'!$C$5:$C$870,'10.Non-elective admissions -HWB'!$D49,'9.Non-elective admissions - Map'!P$5:P$870)</f>
        <v>14915.977142564274</v>
      </c>
      <c r="M49" s="384">
        <f>SUMIF('9.Non-elective admissions - Map'!$C$5:$C$870,'10.Non-elective admissions -HWB'!$D49,'9.Non-elective admissions - Map'!Q$5:Q$870)</f>
        <v>14710.956468347356</v>
      </c>
      <c r="N49" s="384">
        <f>SUMIF('9.Non-elective admissions - Map'!$C$5:$C$870,'10.Non-elective admissions -HWB'!$D49,'9.Non-elective admissions - Map'!R$5:R$870)</f>
        <v>13514.816827783596</v>
      </c>
      <c r="O49" s="384">
        <f>SUMIF('9.Non-elective admissions - Map'!$C$5:$C$870,'10.Non-elective admissions -HWB'!$D49,'9.Non-elective admissions - Map'!S$5:S$870)</f>
        <v>13611.404484982459</v>
      </c>
      <c r="P49" s="384">
        <f>SUMIF('9.Non-elective admissions - Map'!$C$5:$C$870,'10.Non-elective admissions -HWB'!$D49,'9.Non-elective admissions - Map'!T$5:T$870)</f>
        <v>14688.588181653893</v>
      </c>
      <c r="Q49" s="384">
        <f>SUMIF('9.Non-elective admissions - Map'!$C$5:$C$870,'10.Non-elective admissions -HWB'!$D49,'9.Non-elective admissions - Map'!U$5:U$870)</f>
        <v>14508.123817521115</v>
      </c>
    </row>
    <row r="50" spans="1:17">
      <c r="A50" s="380" t="s">
        <v>1223</v>
      </c>
      <c r="B50" s="381" t="s">
        <v>920</v>
      </c>
      <c r="C50" s="381" t="s">
        <v>921</v>
      </c>
      <c r="D50" s="381" t="s">
        <v>662</v>
      </c>
      <c r="E50" s="382" t="s">
        <v>68</v>
      </c>
      <c r="F50" s="384">
        <f>SUMIF('9.Non-elective admissions - Map'!$C$5:$C$870,'10.Non-elective admissions -HWB'!$D50,'9.Non-elective admissions - Map'!J$5:J$870)</f>
        <v>15000.341314531093</v>
      </c>
      <c r="G50" s="384">
        <f>SUMIF('9.Non-elective admissions - Map'!$C$5:$C$870,'10.Non-elective admissions -HWB'!$D50,'9.Non-elective admissions - Map'!K$5:K$870)</f>
        <v>15247.578312522061</v>
      </c>
      <c r="H50" s="384">
        <f>SUMIF('9.Non-elective admissions - Map'!$C$5:$C$870,'10.Non-elective admissions -HWB'!$D50,'9.Non-elective admissions - Map'!L$5:L$870)</f>
        <v>15518.250585265156</v>
      </c>
      <c r="I50" s="384">
        <f>SUMIF('9.Non-elective admissions - Map'!$C$5:$C$870,'10.Non-elective admissions -HWB'!$D50,'9.Non-elective admissions - Map'!M$5:M$870)</f>
        <v>15812.668208350015</v>
      </c>
      <c r="J50" s="384">
        <f>SUMIF('9.Non-elective admissions - Map'!$C$5:$C$870,'10.Non-elective admissions -HWB'!$D50,'9.Non-elective admissions - Map'!N$5:N$870)</f>
        <v>14765.570732808461</v>
      </c>
      <c r="K50" s="384">
        <f>SUMIF('9.Non-elective admissions - Map'!$C$5:$C$870,'10.Non-elective admissions -HWB'!$D50,'9.Non-elective admissions - Map'!O$5:O$870)</f>
        <v>14615.492209007321</v>
      </c>
      <c r="L50" s="384">
        <f>SUMIF('9.Non-elective admissions - Map'!$C$5:$C$870,'10.Non-elective admissions -HWB'!$D50,'9.Non-elective admissions - Map'!P$5:P$870)</f>
        <v>14758.556900697646</v>
      </c>
      <c r="M50" s="384">
        <f>SUMIF('9.Non-elective admissions - Map'!$C$5:$C$870,'10.Non-elective admissions -HWB'!$D50,'9.Non-elective admissions - Map'!Q$5:Q$870)</f>
        <v>14940.877046153577</v>
      </c>
      <c r="N50" s="384">
        <f>SUMIF('9.Non-elective admissions - Map'!$C$5:$C$870,'10.Non-elective admissions -HWB'!$D50,'9.Non-elective admissions - Map'!R$5:R$870)</f>
        <v>13959.489275571488</v>
      </c>
      <c r="O50" s="384">
        <f>SUMIF('9.Non-elective admissions - Map'!$C$5:$C$870,'10.Non-elective admissions -HWB'!$D50,'9.Non-elective admissions - Map'!S$5:S$870)</f>
        <v>14271.508173824393</v>
      </c>
      <c r="P50" s="384">
        <f>SUMIF('9.Non-elective admissions - Map'!$C$5:$C$870,'10.Non-elective admissions -HWB'!$D50,'9.Non-elective admissions - Map'!T$5:T$870)</f>
        <v>14407.338292005701</v>
      </c>
      <c r="Q50" s="384">
        <f>SUMIF('9.Non-elective admissions - Map'!$C$5:$C$870,'10.Non-elective admissions -HWB'!$D50,'9.Non-elective admissions - Map'!U$5:U$870)</f>
        <v>14605.293732070089</v>
      </c>
    </row>
    <row r="51" spans="1:17">
      <c r="A51" s="380" t="s">
        <v>1223</v>
      </c>
      <c r="B51" s="381" t="s">
        <v>920</v>
      </c>
      <c r="C51" s="381" t="s">
        <v>921</v>
      </c>
      <c r="D51" s="381" t="s">
        <v>669</v>
      </c>
      <c r="E51" s="382" t="s">
        <v>94</v>
      </c>
      <c r="F51" s="384">
        <f>SUMIF('9.Non-elective admissions - Map'!$C$5:$C$870,'10.Non-elective admissions -HWB'!$D51,'9.Non-elective admissions - Map'!J$5:J$870)</f>
        <v>6121.0026637473029</v>
      </c>
      <c r="G51" s="384">
        <f>SUMIF('9.Non-elective admissions - Map'!$C$5:$C$870,'10.Non-elective admissions -HWB'!$D51,'9.Non-elective admissions - Map'!K$5:K$870)</f>
        <v>5860.9383685412322</v>
      </c>
      <c r="H51" s="384">
        <f>SUMIF('9.Non-elective admissions - Map'!$C$5:$C$870,'10.Non-elective admissions -HWB'!$D51,'9.Non-elective admissions - Map'!L$5:L$870)</f>
        <v>6557.5043337132256</v>
      </c>
      <c r="I51" s="384">
        <f>SUMIF('9.Non-elective admissions - Map'!$C$5:$C$870,'10.Non-elective admissions -HWB'!$D51,'9.Non-elective admissions - Map'!M$5:M$870)</f>
        <v>6023.9049184597052</v>
      </c>
      <c r="J51" s="384">
        <f>SUMIF('9.Non-elective admissions - Map'!$C$5:$C$870,'10.Non-elective admissions -HWB'!$D51,'9.Non-elective admissions - Map'!N$5:N$870)</f>
        <v>6111.5937344578624</v>
      </c>
      <c r="K51" s="384">
        <f>SUMIF('9.Non-elective admissions - Map'!$C$5:$C$870,'10.Non-elective admissions -HWB'!$D51,'9.Non-elective admissions - Map'!O$5:O$870)</f>
        <v>5849.9225789801731</v>
      </c>
      <c r="L51" s="384">
        <f>SUMIF('9.Non-elective admissions - Map'!$C$5:$C$870,'10.Non-elective admissions -HWB'!$D51,'9.Non-elective admissions - Map'!P$5:P$870)</f>
        <v>6542.4831669195719</v>
      </c>
      <c r="M51" s="384">
        <f>SUMIF('9.Non-elective admissions - Map'!$C$5:$C$870,'10.Non-elective admissions -HWB'!$D51,'9.Non-elective admissions - Map'!Q$5:Q$870)</f>
        <v>6130.3179843116541</v>
      </c>
      <c r="N51" s="384">
        <f>SUMIF('9.Non-elective admissions - Map'!$C$5:$C$870,'10.Non-elective admissions -HWB'!$D51,'9.Non-elective admissions - Map'!R$5:R$870)</f>
        <v>6077.9130793047661</v>
      </c>
      <c r="O51" s="384">
        <f>SUMIF('9.Non-elective admissions - Map'!$C$5:$C$870,'10.Non-elective admissions -HWB'!$D51,'9.Non-elective admissions - Map'!S$5:S$870)</f>
        <v>5820.8734474271969</v>
      </c>
      <c r="P51" s="384">
        <f>SUMIF('9.Non-elective admissions - Map'!$C$5:$C$870,'10.Non-elective admissions -HWB'!$D51,'9.Non-elective admissions - Map'!T$5:T$870)</f>
        <v>6509.3899901863051</v>
      </c>
      <c r="Q51" s="384">
        <f>SUMIF('9.Non-elective admissions - Map'!$C$5:$C$870,'10.Non-elective admissions -HWB'!$D51,'9.Non-elective admissions - Map'!U$5:U$870)</f>
        <v>6098.2434906212484</v>
      </c>
    </row>
    <row r="52" spans="1:17">
      <c r="A52" s="380" t="s">
        <v>1223</v>
      </c>
      <c r="B52" s="381" t="s">
        <v>920</v>
      </c>
      <c r="C52" s="381" t="s">
        <v>921</v>
      </c>
      <c r="D52" s="381" t="s">
        <v>715</v>
      </c>
      <c r="E52" s="382" t="s">
        <v>261</v>
      </c>
      <c r="F52" s="384">
        <f>SUMIF('9.Non-elective admissions - Map'!$C$5:$C$870,'10.Non-elective admissions -HWB'!$D52,'9.Non-elective admissions - Map'!J$5:J$870)</f>
        <v>11713.255842869605</v>
      </c>
      <c r="G52" s="384">
        <f>SUMIF('9.Non-elective admissions - Map'!$C$5:$C$870,'10.Non-elective admissions -HWB'!$D52,'9.Non-elective admissions - Map'!K$5:K$870)</f>
        <v>11696.709161144385</v>
      </c>
      <c r="H52" s="384">
        <f>SUMIF('9.Non-elective admissions - Map'!$C$5:$C$870,'10.Non-elective admissions -HWB'!$D52,'9.Non-elective admissions - Map'!L$5:L$870)</f>
        <v>12077.727663516371</v>
      </c>
      <c r="I52" s="384">
        <f>SUMIF('9.Non-elective admissions - Map'!$C$5:$C$870,'10.Non-elective admissions -HWB'!$D52,'9.Non-elective admissions - Map'!M$5:M$870)</f>
        <v>11539.558641884916</v>
      </c>
      <c r="J52" s="384">
        <f>SUMIF('9.Non-elective admissions - Map'!$C$5:$C$870,'10.Non-elective admissions -HWB'!$D52,'9.Non-elective admissions - Map'!N$5:N$870)</f>
        <v>11677.673598979927</v>
      </c>
      <c r="K52" s="384">
        <f>SUMIF('9.Non-elective admissions - Map'!$C$5:$C$870,'10.Non-elective admissions -HWB'!$D52,'9.Non-elective admissions - Map'!O$5:O$870)</f>
        <v>11673.436538539321</v>
      </c>
      <c r="L52" s="384">
        <f>SUMIF('9.Non-elective admissions - Map'!$C$5:$C$870,'10.Non-elective admissions -HWB'!$D52,'9.Non-elective admissions - Map'!P$5:P$870)</f>
        <v>12050.07183757307</v>
      </c>
      <c r="M52" s="384">
        <f>SUMIF('9.Non-elective admissions - Map'!$C$5:$C$870,'10.Non-elective admissions -HWB'!$D52,'9.Non-elective admissions - Map'!Q$5:Q$870)</f>
        <v>11472.220448901666</v>
      </c>
      <c r="N52" s="384">
        <f>SUMIF('9.Non-elective admissions - Map'!$C$5:$C$870,'10.Non-elective admissions -HWB'!$D52,'9.Non-elective admissions - Map'!R$5:R$870)</f>
        <v>11647.622845427561</v>
      </c>
      <c r="O52" s="384">
        <f>SUMIF('9.Non-elective admissions - Map'!$C$5:$C$870,'10.Non-elective admissions -HWB'!$D52,'9.Non-elective admissions - Map'!S$5:S$870)</f>
        <v>11648.09082815068</v>
      </c>
      <c r="P52" s="384">
        <f>SUMIF('9.Non-elective admissions - Map'!$C$5:$C$870,'10.Non-elective admissions -HWB'!$D52,'9.Non-elective admissions - Map'!T$5:T$870)</f>
        <v>12023.698786863692</v>
      </c>
      <c r="Q52" s="384">
        <f>SUMIF('9.Non-elective admissions - Map'!$C$5:$C$870,'10.Non-elective admissions -HWB'!$D52,'9.Non-elective admissions - Map'!U$5:U$870)</f>
        <v>11445.777091548123</v>
      </c>
    </row>
    <row r="53" spans="1:17">
      <c r="A53" s="380" t="s">
        <v>1223</v>
      </c>
      <c r="B53" s="381" t="s">
        <v>920</v>
      </c>
      <c r="C53" s="381" t="s">
        <v>921</v>
      </c>
      <c r="D53" s="381" t="s">
        <v>719</v>
      </c>
      <c r="E53" s="382" t="s">
        <v>273</v>
      </c>
      <c r="F53" s="384">
        <f>SUMIF('9.Non-elective admissions - Map'!$C$5:$C$870,'10.Non-elective admissions -HWB'!$D53,'9.Non-elective admissions - Map'!J$5:J$870)</f>
        <v>18205.321004845868</v>
      </c>
      <c r="G53" s="384">
        <f>SUMIF('9.Non-elective admissions - Map'!$C$5:$C$870,'10.Non-elective admissions -HWB'!$D53,'9.Non-elective admissions - Map'!K$5:K$870)</f>
        <v>18132.425743962223</v>
      </c>
      <c r="H53" s="384">
        <f>SUMIF('9.Non-elective admissions - Map'!$C$5:$C$870,'10.Non-elective admissions -HWB'!$D53,'9.Non-elective admissions - Map'!L$5:L$870)</f>
        <v>17634.623465243483</v>
      </c>
      <c r="I53" s="384">
        <f>SUMIF('9.Non-elective admissions - Map'!$C$5:$C$870,'10.Non-elective admissions -HWB'!$D53,'9.Non-elective admissions - Map'!M$5:M$870)</f>
        <v>17680.226507808427</v>
      </c>
      <c r="J53" s="384">
        <f>SUMIF('9.Non-elective admissions - Map'!$C$5:$C$870,'10.Non-elective admissions -HWB'!$D53,'9.Non-elective admissions - Map'!N$5:N$870)</f>
        <v>16431.486239230744</v>
      </c>
      <c r="K53" s="384">
        <f>SUMIF('9.Non-elective admissions - Map'!$C$5:$C$870,'10.Non-elective admissions -HWB'!$D53,'9.Non-elective admissions - Map'!O$5:O$870)</f>
        <v>16604.663136603554</v>
      </c>
      <c r="L53" s="384">
        <f>SUMIF('9.Non-elective admissions - Map'!$C$5:$C$870,'10.Non-elective admissions -HWB'!$D53,'9.Non-elective admissions - Map'!P$5:P$870)</f>
        <v>16611.093399246685</v>
      </c>
      <c r="M53" s="384">
        <f>SUMIF('9.Non-elective admissions - Map'!$C$5:$C$870,'10.Non-elective admissions -HWB'!$D53,'9.Non-elective admissions - Map'!Q$5:Q$870)</f>
        <v>16248.589234661906</v>
      </c>
      <c r="N53" s="384">
        <f>SUMIF('9.Non-elective admissions - Map'!$C$5:$C$870,'10.Non-elective admissions -HWB'!$D53,'9.Non-elective admissions - Map'!R$5:R$870)</f>
        <v>16127.927792345283</v>
      </c>
      <c r="O53" s="384">
        <f>SUMIF('9.Non-elective admissions - Map'!$C$5:$C$870,'10.Non-elective admissions -HWB'!$D53,'9.Non-elective admissions - Map'!S$5:S$870)</f>
        <v>16302.773896815892</v>
      </c>
      <c r="P53" s="384">
        <f>SUMIF('9.Non-elective admissions - Map'!$C$5:$C$870,'10.Non-elective admissions -HWB'!$D53,'9.Non-elective admissions - Map'!T$5:T$870)</f>
        <v>16310.240338560572</v>
      </c>
      <c r="Q53" s="384">
        <f>SUMIF('9.Non-elective admissions - Map'!$C$5:$C$870,'10.Non-elective admissions -HWB'!$D53,'9.Non-elective admissions - Map'!U$5:U$870)</f>
        <v>15955.024252381523</v>
      </c>
    </row>
    <row r="54" spans="1:17">
      <c r="A54" s="380" t="s">
        <v>1223</v>
      </c>
      <c r="B54" s="381" t="s">
        <v>920</v>
      </c>
      <c r="C54" s="381" t="s">
        <v>921</v>
      </c>
      <c r="D54" s="381" t="s">
        <v>784</v>
      </c>
      <c r="E54" s="382" t="s">
        <v>468</v>
      </c>
      <c r="F54" s="384">
        <f>SUMIF('9.Non-elective admissions - Map'!$C$5:$C$870,'10.Non-elective admissions -HWB'!$D54,'9.Non-elective admissions - Map'!J$5:J$870)</f>
        <v>10452.475418503054</v>
      </c>
      <c r="G54" s="384">
        <f>SUMIF('9.Non-elective admissions - Map'!$C$5:$C$870,'10.Non-elective admissions -HWB'!$D54,'9.Non-elective admissions - Map'!K$5:K$870)</f>
        <v>9658.5235920723298</v>
      </c>
      <c r="H54" s="384">
        <f>SUMIF('9.Non-elective admissions - Map'!$C$5:$C$870,'10.Non-elective admissions -HWB'!$D54,'9.Non-elective admissions - Map'!L$5:L$870)</f>
        <v>10045.102099786487</v>
      </c>
      <c r="I54" s="384">
        <f>SUMIF('9.Non-elective admissions - Map'!$C$5:$C$870,'10.Non-elective admissions -HWB'!$D54,'9.Non-elective admissions - Map'!M$5:M$870)</f>
        <v>10167.140071106338</v>
      </c>
      <c r="J54" s="384">
        <f>SUMIF('9.Non-elective admissions - Map'!$C$5:$C$870,'10.Non-elective admissions -HWB'!$D54,'9.Non-elective admissions - Map'!N$5:N$870)</f>
        <v>10520.705125677252</v>
      </c>
      <c r="K54" s="384">
        <f>SUMIF('9.Non-elective admissions - Map'!$C$5:$C$870,'10.Non-elective admissions -HWB'!$D54,'9.Non-elective admissions - Map'!O$5:O$870)</f>
        <v>10482.231213156454</v>
      </c>
      <c r="L54" s="384">
        <f>SUMIF('9.Non-elective admissions - Map'!$C$5:$C$870,'10.Non-elective admissions -HWB'!$D54,'9.Non-elective admissions - Map'!P$5:P$870)</f>
        <v>10886.02435938678</v>
      </c>
      <c r="M54" s="384">
        <f>SUMIF('9.Non-elective admissions - Map'!$C$5:$C$870,'10.Non-elective admissions -HWB'!$D54,'9.Non-elective admissions - Map'!Q$5:Q$870)</f>
        <v>10483.937784517171</v>
      </c>
      <c r="N54" s="384">
        <f>SUMIF('9.Non-elective admissions - Map'!$C$5:$C$870,'10.Non-elective admissions -HWB'!$D54,'9.Non-elective admissions - Map'!R$5:R$870)</f>
        <v>10621.274417522918</v>
      </c>
      <c r="O54" s="384">
        <f>SUMIF('9.Non-elective admissions - Map'!$C$5:$C$870,'10.Non-elective admissions -HWB'!$D54,'9.Non-elective admissions - Map'!S$5:S$870)</f>
        <v>10582.727378427653</v>
      </c>
      <c r="P54" s="384">
        <f>SUMIF('9.Non-elective admissions - Map'!$C$5:$C$870,'10.Non-elective admissions -HWB'!$D54,'9.Non-elective admissions - Map'!T$5:T$870)</f>
        <v>10992.251181016467</v>
      </c>
      <c r="Q54" s="384">
        <f>SUMIF('9.Non-elective admissions - Map'!$C$5:$C$870,'10.Non-elective admissions -HWB'!$D54,'9.Non-elective admissions - Map'!U$5:U$870)</f>
        <v>10584.527201229557</v>
      </c>
    </row>
    <row r="55" spans="1:17">
      <c r="A55" s="380" t="s">
        <v>1205</v>
      </c>
      <c r="B55" s="381" t="s">
        <v>937</v>
      </c>
      <c r="C55" s="381" t="s">
        <v>938</v>
      </c>
      <c r="D55" s="381" t="s">
        <v>678</v>
      </c>
      <c r="E55" s="382" t="s">
        <v>128</v>
      </c>
      <c r="F55" s="384">
        <f>SUMIF('9.Non-elective admissions - Map'!$C$5:$C$870,'10.Non-elective admissions -HWB'!$D55,'9.Non-elective admissions - Map'!J$5:J$870)</f>
        <v>8117.785551340954</v>
      </c>
      <c r="G55" s="384">
        <f>SUMIF('9.Non-elective admissions - Map'!$C$5:$C$870,'10.Non-elective admissions -HWB'!$D55,'9.Non-elective admissions - Map'!K$5:K$870)</f>
        <v>7965.5390999006913</v>
      </c>
      <c r="H55" s="384">
        <f>SUMIF('9.Non-elective admissions - Map'!$C$5:$C$870,'10.Non-elective admissions -HWB'!$D55,'9.Non-elective admissions - Map'!L$5:L$870)</f>
        <v>8363.8590133725356</v>
      </c>
      <c r="I55" s="384">
        <f>SUMIF('9.Non-elective admissions - Map'!$C$5:$C$870,'10.Non-elective admissions -HWB'!$D55,'9.Non-elective admissions - Map'!M$5:M$870)</f>
        <v>8144.571626942542</v>
      </c>
      <c r="J55" s="384">
        <f>SUMIF('9.Non-elective admissions - Map'!$C$5:$C$870,'10.Non-elective admissions -HWB'!$D55,'9.Non-elective admissions - Map'!N$5:N$870)</f>
        <v>7892.9524927884604</v>
      </c>
      <c r="K55" s="384">
        <f>SUMIF('9.Non-elective admissions - Map'!$C$5:$C$870,'10.Non-elective admissions -HWB'!$D55,'9.Non-elective admissions - Map'!O$5:O$870)</f>
        <v>7979.6882344440201</v>
      </c>
      <c r="L55" s="384">
        <f>SUMIF('9.Non-elective admissions - Map'!$C$5:$C$870,'10.Non-elective admissions -HWB'!$D55,'9.Non-elective admissions - Map'!P$5:P$870)</f>
        <v>7979.6882344440201</v>
      </c>
      <c r="M55" s="384">
        <f>SUMIF('9.Non-elective admissions - Map'!$C$5:$C$870,'10.Non-elective admissions -HWB'!$D55,'9.Non-elective admissions - Map'!Q$5:Q$870)</f>
        <v>7806.2167511188991</v>
      </c>
      <c r="N55" s="384">
        <f>SUMIF('9.Non-elective admissions - Map'!$C$5:$C$870,'10.Non-elective admissions -HWB'!$D55,'9.Non-elective admissions - Map'!R$5:R$870)</f>
        <v>7552.6911116363272</v>
      </c>
      <c r="O55" s="384">
        <f>SUMIF('9.Non-elective admissions - Map'!$C$5:$C$870,'10.Non-elective admissions -HWB'!$D55,'9.Non-elective admissions - Map'!S$5:S$870)</f>
        <v>7635.6945507195805</v>
      </c>
      <c r="P55" s="384">
        <f>SUMIF('9.Non-elective admissions - Map'!$C$5:$C$870,'10.Non-elective admissions -HWB'!$D55,'9.Non-elective admissions - Map'!T$5:T$870)</f>
        <v>7635.6945507195805</v>
      </c>
      <c r="Q55" s="384">
        <f>SUMIF('9.Non-elective admissions - Map'!$C$5:$C$870,'10.Non-elective admissions -HWB'!$D55,'9.Non-elective admissions - Map'!U$5:U$870)</f>
        <v>7552.6324476714426</v>
      </c>
    </row>
    <row r="56" spans="1:17">
      <c r="A56" s="380" t="s">
        <v>1205</v>
      </c>
      <c r="B56" s="381" t="s">
        <v>937</v>
      </c>
      <c r="C56" s="381" t="s">
        <v>938</v>
      </c>
      <c r="D56" s="381" t="s">
        <v>704</v>
      </c>
      <c r="E56" s="382" t="s">
        <v>223</v>
      </c>
      <c r="F56" s="384">
        <f>SUMIF('9.Non-elective admissions - Map'!$C$5:$C$870,'10.Non-elective admissions -HWB'!$D56,'9.Non-elective admissions - Map'!J$5:J$870)</f>
        <v>3735.0495390802184</v>
      </c>
      <c r="G56" s="384">
        <f>SUMIF('9.Non-elective admissions - Map'!$C$5:$C$870,'10.Non-elective admissions -HWB'!$D56,'9.Non-elective admissions - Map'!K$5:K$870)</f>
        <v>3736.0388315046425</v>
      </c>
      <c r="H56" s="384">
        <f>SUMIF('9.Non-elective admissions - Map'!$C$5:$C$870,'10.Non-elective admissions -HWB'!$D56,'9.Non-elective admissions - Map'!L$5:L$870)</f>
        <v>4046.7842163984633</v>
      </c>
      <c r="I56" s="384">
        <f>SUMIF('9.Non-elective admissions - Map'!$C$5:$C$870,'10.Non-elective admissions -HWB'!$D56,'9.Non-elective admissions - Map'!M$5:M$870)</f>
        <v>4375.7432674686397</v>
      </c>
      <c r="J56" s="384">
        <f>SUMIF('9.Non-elective admissions - Map'!$C$5:$C$870,'10.Non-elective admissions -HWB'!$D56,'9.Non-elective admissions - Map'!N$5:N$870)</f>
        <v>3614.4103387409132</v>
      </c>
      <c r="K56" s="384">
        <f>SUMIF('9.Non-elective admissions - Map'!$C$5:$C$870,'10.Non-elective admissions -HWB'!$D56,'9.Non-elective admissions - Map'!O$5:O$870)</f>
        <v>3337.5889543893541</v>
      </c>
      <c r="L56" s="384">
        <f>SUMIF('9.Non-elective admissions - Map'!$C$5:$C$870,'10.Non-elective admissions -HWB'!$D56,'9.Non-elective admissions - Map'!P$5:P$870)</f>
        <v>3666.0887584028824</v>
      </c>
      <c r="M56" s="384">
        <f>SUMIF('9.Non-elective admissions - Map'!$C$5:$C$870,'10.Non-elective admissions -HWB'!$D56,'9.Non-elective admissions - Map'!Q$5:Q$870)</f>
        <v>3595.4905003575154</v>
      </c>
      <c r="N56" s="384">
        <f>SUMIF('9.Non-elective admissions - Map'!$C$5:$C$870,'10.Non-elective admissions -HWB'!$D56,'9.Non-elective admissions - Map'!R$5:R$870)</f>
        <v>3428.0470630784275</v>
      </c>
      <c r="O56" s="384">
        <f>SUMIF('9.Non-elective admissions - Map'!$C$5:$C$870,'10.Non-elective admissions -HWB'!$D56,'9.Non-elective admissions - Map'!S$5:S$870)</f>
        <v>3187.8939011561647</v>
      </c>
      <c r="P56" s="384">
        <f>SUMIF('9.Non-elective admissions - Map'!$C$5:$C$870,'10.Non-elective admissions -HWB'!$D56,'9.Non-elective admissions - Map'!T$5:T$870)</f>
        <v>3567.8854276853258</v>
      </c>
      <c r="Q56" s="384">
        <f>SUMIF('9.Non-elective admissions - Map'!$C$5:$C$870,'10.Non-elective admissions -HWB'!$D56,'9.Non-elective admissions - Map'!U$5:U$870)</f>
        <v>3556.4244477136181</v>
      </c>
    </row>
    <row r="57" spans="1:17">
      <c r="A57" s="380" t="s">
        <v>1205</v>
      </c>
      <c r="B57" s="381" t="s">
        <v>937</v>
      </c>
      <c r="C57" s="381" t="s">
        <v>938</v>
      </c>
      <c r="D57" s="381" t="s">
        <v>789</v>
      </c>
      <c r="E57" s="382" t="s">
        <v>483</v>
      </c>
      <c r="F57" s="384">
        <f>SUMIF('9.Non-elective admissions - Map'!$C$5:$C$870,'10.Non-elective admissions -HWB'!$D57,'9.Non-elective admissions - Map'!J$5:J$870)</f>
        <v>12828.453458031736</v>
      </c>
      <c r="G57" s="384">
        <f>SUMIF('9.Non-elective admissions - Map'!$C$5:$C$870,'10.Non-elective admissions -HWB'!$D57,'9.Non-elective admissions - Map'!K$5:K$870)</f>
        <v>12590.628724278082</v>
      </c>
      <c r="H57" s="384">
        <f>SUMIF('9.Non-elective admissions - Map'!$C$5:$C$870,'10.Non-elective admissions -HWB'!$D57,'9.Non-elective admissions - Map'!L$5:L$870)</f>
        <v>13303.244041377782</v>
      </c>
      <c r="I57" s="384">
        <f>SUMIF('9.Non-elective admissions - Map'!$C$5:$C$870,'10.Non-elective admissions -HWB'!$D57,'9.Non-elective admissions - Map'!M$5:M$870)</f>
        <v>13023.82119068933</v>
      </c>
      <c r="J57" s="384">
        <f>SUMIF('9.Non-elective admissions - Map'!$C$5:$C$870,'10.Non-elective admissions -HWB'!$D57,'9.Non-elective admissions - Map'!N$5:N$870)</f>
        <v>12723.186915359989</v>
      </c>
      <c r="K57" s="384">
        <f>SUMIF('9.Non-elective admissions - Map'!$C$5:$C$870,'10.Non-elective admissions -HWB'!$D57,'9.Non-elective admissions - Map'!O$5:O$870)</f>
        <v>12862.413517488911</v>
      </c>
      <c r="L57" s="384">
        <f>SUMIF('9.Non-elective admissions - Map'!$C$5:$C$870,'10.Non-elective admissions -HWB'!$D57,'9.Non-elective admissions - Map'!P$5:P$870)</f>
        <v>12870.114588265675</v>
      </c>
      <c r="M57" s="384">
        <f>SUMIF('9.Non-elective admissions - Map'!$C$5:$C$870,'10.Non-elective admissions -HWB'!$D57,'9.Non-elective admissions - Map'!Q$5:Q$870)</f>
        <v>12589.457194758539</v>
      </c>
      <c r="N57" s="384">
        <f>SUMIF('9.Non-elective admissions - Map'!$C$5:$C$870,'10.Non-elective admissions -HWB'!$D57,'9.Non-elective admissions - Map'!R$5:R$870)</f>
        <v>12420.3239655663</v>
      </c>
      <c r="O57" s="384">
        <f>SUMIF('9.Non-elective admissions - Map'!$C$5:$C$870,'10.Non-elective admissions -HWB'!$D57,'9.Non-elective admissions - Map'!S$5:S$870)</f>
        <v>12559.124003856423</v>
      </c>
      <c r="P57" s="384">
        <f>SUMIF('9.Non-elective admissions - Map'!$C$5:$C$870,'10.Non-elective admissions -HWB'!$D57,'9.Non-elective admissions - Map'!T$5:T$870)</f>
        <v>12566.833575704812</v>
      </c>
      <c r="Q57" s="384">
        <f>SUMIF('9.Non-elective admissions - Map'!$C$5:$C$870,'10.Non-elective admissions -HWB'!$D57,'9.Non-elective admissions - Map'!U$5:U$870)</f>
        <v>12399.995780998415</v>
      </c>
    </row>
    <row r="58" spans="1:17">
      <c r="A58" s="380" t="s">
        <v>1205</v>
      </c>
      <c r="B58" s="381" t="s">
        <v>937</v>
      </c>
      <c r="C58" s="381" t="s">
        <v>938</v>
      </c>
      <c r="D58" s="381" t="s">
        <v>799</v>
      </c>
      <c r="E58" s="382" t="s">
        <v>513</v>
      </c>
      <c r="F58" s="384">
        <f>SUMIF('9.Non-elective admissions - Map'!$C$5:$C$870,'10.Non-elective admissions -HWB'!$D58,'9.Non-elective admissions - Map'!J$5:J$870)</f>
        <v>12990.92320071307</v>
      </c>
      <c r="G58" s="384">
        <f>SUMIF('9.Non-elective admissions - Map'!$C$5:$C$870,'10.Non-elective admissions -HWB'!$D58,'9.Non-elective admissions - Map'!K$5:K$870)</f>
        <v>12607.318539253638</v>
      </c>
      <c r="H58" s="384">
        <f>SUMIF('9.Non-elective admissions - Map'!$C$5:$C$870,'10.Non-elective admissions -HWB'!$D58,'9.Non-elective admissions - Map'!L$5:L$870)</f>
        <v>13608.726749195368</v>
      </c>
      <c r="I58" s="384">
        <f>SUMIF('9.Non-elective admissions - Map'!$C$5:$C$870,'10.Non-elective admissions -HWB'!$D58,'9.Non-elective admissions - Map'!M$5:M$870)</f>
        <v>12905.8517983251</v>
      </c>
      <c r="J58" s="384">
        <f>SUMIF('9.Non-elective admissions - Map'!$C$5:$C$870,'10.Non-elective admissions -HWB'!$D58,'9.Non-elective admissions - Map'!N$5:N$870)</f>
        <v>12493.408318703603</v>
      </c>
      <c r="K58" s="384">
        <f>SUMIF('9.Non-elective admissions - Map'!$C$5:$C$870,'10.Non-elective admissions -HWB'!$D58,'9.Non-elective admissions - Map'!O$5:O$870)</f>
        <v>12265.559315618591</v>
      </c>
      <c r="L58" s="384">
        <f>SUMIF('9.Non-elective admissions - Map'!$C$5:$C$870,'10.Non-elective admissions -HWB'!$D58,'9.Non-elective admissions - Map'!P$5:P$870)</f>
        <v>13275.885143575117</v>
      </c>
      <c r="M58" s="384">
        <f>SUMIF('9.Non-elective admissions - Map'!$C$5:$C$870,'10.Non-elective admissions -HWB'!$D58,'9.Non-elective admissions - Map'!Q$5:Q$870)</f>
        <v>12472.715855723694</v>
      </c>
      <c r="N58" s="384">
        <f>SUMIF('9.Non-elective admissions - Map'!$C$5:$C$870,'10.Non-elective admissions -HWB'!$D58,'9.Non-elective admissions - Map'!R$5:R$870)</f>
        <v>12005.932676533605</v>
      </c>
      <c r="O58" s="384">
        <f>SUMIF('9.Non-elective admissions - Map'!$C$5:$C$870,'10.Non-elective admissions -HWB'!$D58,'9.Non-elective admissions - Map'!S$5:S$870)</f>
        <v>11620.912250774702</v>
      </c>
      <c r="P58" s="384">
        <f>SUMIF('9.Non-elective admissions - Map'!$C$5:$C$870,'10.Non-elective admissions -HWB'!$D58,'9.Non-elective admissions - Map'!T$5:T$870)</f>
        <v>12835.392882147436</v>
      </c>
      <c r="Q58" s="384">
        <f>SUMIF('9.Non-elective admissions - Map'!$C$5:$C$870,'10.Non-elective admissions -HWB'!$D58,'9.Non-elective admissions - Map'!U$5:U$870)</f>
        <v>11956.839320919316</v>
      </c>
    </row>
    <row r="59" spans="1:17">
      <c r="A59" s="380" t="s">
        <v>1205</v>
      </c>
      <c r="B59" s="381" t="s">
        <v>909</v>
      </c>
      <c r="C59" s="381" t="s">
        <v>910</v>
      </c>
      <c r="D59" s="381" t="s">
        <v>656</v>
      </c>
      <c r="E59" s="382" t="s">
        <v>45</v>
      </c>
      <c r="F59" s="384">
        <f>SUMIF('9.Non-elective admissions - Map'!$C$5:$C$870,'10.Non-elective admissions -HWB'!$D59,'9.Non-elective admissions - Map'!J$5:J$870)</f>
        <v>30240.926425347658</v>
      </c>
      <c r="G59" s="384">
        <f>SUMIF('9.Non-elective admissions - Map'!$C$5:$C$870,'10.Non-elective admissions -HWB'!$D59,'9.Non-elective admissions - Map'!K$5:K$870)</f>
        <v>29694.057940502913</v>
      </c>
      <c r="H59" s="384">
        <f>SUMIF('9.Non-elective admissions - Map'!$C$5:$C$870,'10.Non-elective admissions -HWB'!$D59,'9.Non-elective admissions - Map'!L$5:L$870)</f>
        <v>31253.522324101818</v>
      </c>
      <c r="I59" s="384">
        <f>SUMIF('9.Non-elective admissions - Map'!$C$5:$C$870,'10.Non-elective admissions -HWB'!$D59,'9.Non-elective admissions - Map'!M$5:M$870)</f>
        <v>31428.398253311563</v>
      </c>
      <c r="J59" s="384">
        <f>SUMIF('9.Non-elective admissions - Map'!$C$5:$C$870,'10.Non-elective admissions -HWB'!$D59,'9.Non-elective admissions - Map'!N$5:N$870)</f>
        <v>31065.912092571576</v>
      </c>
      <c r="K59" s="384">
        <f>SUMIF('9.Non-elective admissions - Map'!$C$5:$C$870,'10.Non-elective admissions -HWB'!$D59,'9.Non-elective admissions - Map'!O$5:O$870)</f>
        <v>30795.560248263955</v>
      </c>
      <c r="L59" s="384">
        <f>SUMIF('9.Non-elective admissions - Map'!$C$5:$C$870,'10.Non-elective admissions -HWB'!$D59,'9.Non-elective admissions - Map'!P$5:P$870)</f>
        <v>31041.079739897839</v>
      </c>
      <c r="M59" s="384">
        <f>SUMIF('9.Non-elective admissions - Map'!$C$5:$C$870,'10.Non-elective admissions -HWB'!$D59,'9.Non-elective admissions - Map'!Q$5:Q$870)</f>
        <v>31107.19215929601</v>
      </c>
      <c r="N59" s="384">
        <f>SUMIF('9.Non-elective admissions - Map'!$C$5:$C$870,'10.Non-elective admissions -HWB'!$D59,'9.Non-elective admissions - Map'!R$5:R$870)</f>
        <v>31286.78705911466</v>
      </c>
      <c r="O59" s="384">
        <f>SUMIF('9.Non-elective admissions - Map'!$C$5:$C$870,'10.Non-elective admissions -HWB'!$D59,'9.Non-elective admissions - Map'!S$5:S$870)</f>
        <v>31012.118184348423</v>
      </c>
      <c r="P59" s="384">
        <f>SUMIF('9.Non-elective admissions - Map'!$C$5:$C$870,'10.Non-elective admissions -HWB'!$D59,'9.Non-elective admissions - Map'!T$5:T$870)</f>
        <v>31261.316763198811</v>
      </c>
      <c r="Q59" s="384">
        <f>SUMIF('9.Non-elective admissions - Map'!$C$5:$C$870,'10.Non-elective admissions -HWB'!$D59,'9.Non-elective admissions - Map'!U$5:U$870)</f>
        <v>31332.795090138905</v>
      </c>
    </row>
    <row r="60" spans="1:17">
      <c r="A60" s="380" t="s">
        <v>1205</v>
      </c>
      <c r="B60" s="381" t="s">
        <v>909</v>
      </c>
      <c r="C60" s="381" t="s">
        <v>910</v>
      </c>
      <c r="D60" s="381" t="s">
        <v>687</v>
      </c>
      <c r="E60" s="382" t="s">
        <v>162</v>
      </c>
      <c r="F60" s="384">
        <f>SUMIF('9.Non-elective admissions - Map'!$C$5:$C$870,'10.Non-elective admissions -HWB'!$D60,'9.Non-elective admissions - Map'!J$5:J$870)</f>
        <v>8364.585157466272</v>
      </c>
      <c r="G60" s="384">
        <f>SUMIF('9.Non-elective admissions - Map'!$C$5:$C$870,'10.Non-elective admissions -HWB'!$D60,'9.Non-elective admissions - Map'!K$5:K$870)</f>
        <v>8334.1194952457299</v>
      </c>
      <c r="H60" s="384">
        <f>SUMIF('9.Non-elective admissions - Map'!$C$5:$C$870,'10.Non-elective admissions -HWB'!$D60,'9.Non-elective admissions - Map'!L$5:L$870)</f>
        <v>8533.6815774873248</v>
      </c>
      <c r="I60" s="384">
        <f>SUMIF('9.Non-elective admissions - Map'!$C$5:$C$870,'10.Non-elective admissions -HWB'!$D60,'9.Non-elective admissions - Map'!M$5:M$870)</f>
        <v>8858.5203438432509</v>
      </c>
      <c r="J60" s="384">
        <f>SUMIF('9.Non-elective admissions - Map'!$C$5:$C$870,'10.Non-elective admissions -HWB'!$D60,'9.Non-elective admissions - Map'!N$5:N$870)</f>
        <v>8252.5055365906228</v>
      </c>
      <c r="K60" s="384">
        <f>SUMIF('9.Non-elective admissions - Map'!$C$5:$C$870,'10.Non-elective admissions -HWB'!$D60,'9.Non-elective admissions - Map'!O$5:O$870)</f>
        <v>8328.3112590990422</v>
      </c>
      <c r="L60" s="384">
        <f>SUMIF('9.Non-elective admissions - Map'!$C$5:$C$870,'10.Non-elective admissions -HWB'!$D60,'9.Non-elective admissions - Map'!P$5:P$870)</f>
        <v>8334.9508419101894</v>
      </c>
      <c r="M60" s="384">
        <f>SUMIF('9.Non-elective admissions - Map'!$C$5:$C$870,'10.Non-elective admissions -HWB'!$D60,'9.Non-elective admissions - Map'!Q$5:Q$870)</f>
        <v>8177.4693640355435</v>
      </c>
      <c r="N60" s="384">
        <f>SUMIF('9.Non-elective admissions - Map'!$C$5:$C$870,'10.Non-elective admissions -HWB'!$D60,'9.Non-elective admissions - Map'!R$5:R$870)</f>
        <v>7908.2377082454268</v>
      </c>
      <c r="O60" s="384">
        <f>SUMIF('9.Non-elective admissions - Map'!$C$5:$C$870,'10.Non-elective admissions -HWB'!$D60,'9.Non-elective admissions - Map'!S$5:S$870)</f>
        <v>7981.6479501478971</v>
      </c>
      <c r="P60" s="384">
        <f>SUMIF('9.Non-elective admissions - Map'!$C$5:$C$870,'10.Non-elective admissions -HWB'!$D60,'9.Non-elective admissions - Map'!T$5:T$870)</f>
        <v>7988.3751326569864</v>
      </c>
      <c r="Q60" s="384">
        <f>SUMIF('9.Non-elective admissions - Map'!$C$5:$C$870,'10.Non-elective admissions -HWB'!$D60,'9.Non-elective admissions - Map'!U$5:U$870)</f>
        <v>7838.2687156003349</v>
      </c>
    </row>
    <row r="61" spans="1:17">
      <c r="A61" s="380" t="s">
        <v>1205</v>
      </c>
      <c r="B61" s="381" t="s">
        <v>909</v>
      </c>
      <c r="C61" s="381" t="s">
        <v>910</v>
      </c>
      <c r="D61" s="381" t="s">
        <v>756</v>
      </c>
      <c r="E61" s="382" t="s">
        <v>384</v>
      </c>
      <c r="F61" s="384">
        <f>SUMIF('9.Non-elective admissions - Map'!$C$5:$C$870,'10.Non-elective admissions -HWB'!$D61,'9.Non-elective admissions - Map'!J$5:J$870)</f>
        <v>9185.5297383122524</v>
      </c>
      <c r="G61" s="384">
        <f>SUMIF('9.Non-elective admissions - Map'!$C$5:$C$870,'10.Non-elective admissions -HWB'!$D61,'9.Non-elective admissions - Map'!K$5:K$870)</f>
        <v>9025.3870644302151</v>
      </c>
      <c r="H61" s="384">
        <f>SUMIF('9.Non-elective admissions - Map'!$C$5:$C$870,'10.Non-elective admissions -HWB'!$D61,'9.Non-elective admissions - Map'!L$5:L$870)</f>
        <v>9373.4077711718855</v>
      </c>
      <c r="I61" s="384">
        <f>SUMIF('9.Non-elective admissions - Map'!$C$5:$C$870,'10.Non-elective admissions -HWB'!$D61,'9.Non-elective admissions - Map'!M$5:M$870)</f>
        <v>9388.0439899692356</v>
      </c>
      <c r="J61" s="384">
        <f>SUMIF('9.Non-elective admissions - Map'!$C$5:$C$870,'10.Non-elective admissions -HWB'!$D61,'9.Non-elective admissions - Map'!N$5:N$870)</f>
        <v>9409.1777993893229</v>
      </c>
      <c r="K61" s="384">
        <f>SUMIF('9.Non-elective admissions - Map'!$C$5:$C$870,'10.Non-elective admissions -HWB'!$D61,'9.Non-elective admissions - Map'!O$5:O$870)</f>
        <v>9413.7559367461436</v>
      </c>
      <c r="L61" s="384">
        <f>SUMIF('9.Non-elective admissions - Map'!$C$5:$C$870,'10.Non-elective admissions -HWB'!$D61,'9.Non-elective admissions - Map'!P$5:P$870)</f>
        <v>9413.9244654289905</v>
      </c>
      <c r="M61" s="384">
        <f>SUMIF('9.Non-elective admissions - Map'!$C$5:$C$870,'10.Non-elective admissions -HWB'!$D61,'9.Non-elective admissions - Map'!Q$5:Q$870)</f>
        <v>9408.60711977555</v>
      </c>
      <c r="N61" s="384">
        <f>SUMIF('9.Non-elective admissions - Map'!$C$5:$C$870,'10.Non-elective admissions -HWB'!$D61,'9.Non-elective admissions - Map'!R$5:R$870)</f>
        <v>9579.1046219456275</v>
      </c>
      <c r="O61" s="384">
        <f>SUMIF('9.Non-elective admissions - Map'!$C$5:$C$870,'10.Non-elective admissions -HWB'!$D61,'9.Non-elective admissions - Map'!S$5:S$870)</f>
        <v>9583.6031421712796</v>
      </c>
      <c r="P61" s="384">
        <f>SUMIF('9.Non-elective admissions - Map'!$C$5:$C$870,'10.Non-elective admissions -HWB'!$D61,'9.Non-elective admissions - Map'!T$5:T$870)</f>
        <v>9583.7812486633629</v>
      </c>
      <c r="Q61" s="384">
        <f>SUMIF('9.Non-elective admissions - Map'!$C$5:$C$870,'10.Non-elective admissions -HWB'!$D61,'9.Non-elective admissions - Map'!U$5:U$870)</f>
        <v>9578.6691045152547</v>
      </c>
    </row>
    <row r="62" spans="1:17">
      <c r="A62" s="380" t="s">
        <v>1205</v>
      </c>
      <c r="B62" s="381" t="s">
        <v>909</v>
      </c>
      <c r="C62" s="381" t="s">
        <v>910</v>
      </c>
      <c r="D62" s="381" t="s">
        <v>761</v>
      </c>
      <c r="E62" s="382" t="s">
        <v>399</v>
      </c>
      <c r="F62" s="384">
        <f>SUMIF('9.Non-elective admissions - Map'!$C$5:$C$870,'10.Non-elective admissions -HWB'!$D62,'9.Non-elective admissions - Map'!J$5:J$870)</f>
        <v>5747.0797169998141</v>
      </c>
      <c r="G62" s="384">
        <f>SUMIF('9.Non-elective admissions - Map'!$C$5:$C$870,'10.Non-elective admissions -HWB'!$D62,'9.Non-elective admissions - Map'!K$5:K$870)</f>
        <v>5732.889598323758</v>
      </c>
      <c r="H62" s="384">
        <f>SUMIF('9.Non-elective admissions - Map'!$C$5:$C$870,'10.Non-elective admissions -HWB'!$D62,'9.Non-elective admissions - Map'!L$5:L$870)</f>
        <v>6064.1884830014933</v>
      </c>
      <c r="I62" s="384">
        <f>SUMIF('9.Non-elective admissions - Map'!$C$5:$C$870,'10.Non-elective admissions -HWB'!$D62,'9.Non-elective admissions - Map'!M$5:M$870)</f>
        <v>6063.4023004277524</v>
      </c>
      <c r="J62" s="384">
        <f>SUMIF('9.Non-elective admissions - Map'!$C$5:$C$870,'10.Non-elective admissions -HWB'!$D62,'9.Non-elective admissions - Map'!N$5:N$870)</f>
        <v>5796.6786952193706</v>
      </c>
      <c r="K62" s="384">
        <f>SUMIF('9.Non-elective admissions - Map'!$C$5:$C$870,'10.Non-elective admissions -HWB'!$D62,'9.Non-elective admissions - Map'!O$5:O$870)</f>
        <v>5563.2691776192487</v>
      </c>
      <c r="L62" s="384">
        <f>SUMIF('9.Non-elective admissions - Map'!$C$5:$C$870,'10.Non-elective admissions -HWB'!$D62,'9.Non-elective admissions - Map'!P$5:P$870)</f>
        <v>5757.1500490197986</v>
      </c>
      <c r="M62" s="384">
        <f>SUMIF('9.Non-elective admissions - Map'!$C$5:$C$870,'10.Non-elective admissions -HWB'!$D62,'9.Non-elective admissions - Map'!Q$5:Q$870)</f>
        <v>5451.2656446994843</v>
      </c>
      <c r="N62" s="384">
        <f>SUMIF('9.Non-elective admissions - Map'!$C$5:$C$870,'10.Non-elective admissions -HWB'!$D62,'9.Non-elective admissions - Map'!R$5:R$870)</f>
        <v>5607.5886195391631</v>
      </c>
      <c r="O62" s="384">
        <f>SUMIF('9.Non-elective admissions - Map'!$C$5:$C$870,'10.Non-elective admissions -HWB'!$D62,'9.Non-elective admissions - Map'!S$5:S$870)</f>
        <v>5382.3802859878406</v>
      </c>
      <c r="P62" s="384">
        <f>SUMIF('9.Non-elective admissions - Map'!$C$5:$C$870,'10.Non-elective admissions -HWB'!$D62,'9.Non-elective admissions - Map'!T$5:T$870)</f>
        <v>5569.4666379266137</v>
      </c>
      <c r="Q62" s="384">
        <f>SUMIF('9.Non-elective admissions - Map'!$C$5:$C$870,'10.Non-elective admissions -HWB'!$D62,'9.Non-elective admissions - Map'!U$5:U$870)</f>
        <v>5274.6975977911434</v>
      </c>
    </row>
    <row r="63" spans="1:17">
      <c r="A63" s="380" t="s">
        <v>1205</v>
      </c>
      <c r="B63" s="381" t="s">
        <v>909</v>
      </c>
      <c r="C63" s="381" t="s">
        <v>910</v>
      </c>
      <c r="D63" s="381" t="s">
        <v>785</v>
      </c>
      <c r="E63" s="382" t="s">
        <v>471</v>
      </c>
      <c r="F63" s="384">
        <f>SUMIF('9.Non-elective admissions - Map'!$C$5:$C$870,'10.Non-elective admissions -HWB'!$D63,'9.Non-elective admissions - Map'!J$5:J$870)</f>
        <v>7396.5223836480181</v>
      </c>
      <c r="G63" s="384">
        <f>SUMIF('9.Non-elective admissions - Map'!$C$5:$C$870,'10.Non-elective admissions -HWB'!$D63,'9.Non-elective admissions - Map'!K$5:K$870)</f>
        <v>7179.1946410504261</v>
      </c>
      <c r="H63" s="384">
        <f>SUMIF('9.Non-elective admissions - Map'!$C$5:$C$870,'10.Non-elective admissions -HWB'!$D63,'9.Non-elective admissions - Map'!L$5:L$870)</f>
        <v>7464.3404448840092</v>
      </c>
      <c r="I63" s="384">
        <f>SUMIF('9.Non-elective admissions - Map'!$C$5:$C$870,'10.Non-elective admissions -HWB'!$D63,'9.Non-elective admissions - Map'!M$5:M$870)</f>
        <v>7375.7358444987349</v>
      </c>
      <c r="J63" s="384">
        <f>SUMIF('9.Non-elective admissions - Map'!$C$5:$C$870,'10.Non-elective admissions -HWB'!$D63,'9.Non-elective admissions - Map'!N$5:N$870)</f>
        <v>7111.7346009797693</v>
      </c>
      <c r="K63" s="384">
        <f>SUMIF('9.Non-elective admissions - Map'!$C$5:$C$870,'10.Non-elective admissions -HWB'!$D63,'9.Non-elective admissions - Map'!O$5:O$870)</f>
        <v>7346.9493787971287</v>
      </c>
      <c r="L63" s="384">
        <f>SUMIF('9.Non-elective admissions - Map'!$C$5:$C$870,'10.Non-elective admissions -HWB'!$D63,'9.Non-elective admissions - Map'!P$5:P$870)</f>
        <v>7271.6527424990818</v>
      </c>
      <c r="M63" s="384">
        <f>SUMIF('9.Non-elective admissions - Map'!$C$5:$C$870,'10.Non-elective admissions -HWB'!$D63,'9.Non-elective admissions - Map'!Q$5:Q$870)</f>
        <v>7195.6717931319981</v>
      </c>
      <c r="N63" s="384">
        <f>SUMIF('9.Non-elective admissions - Map'!$C$5:$C$870,'10.Non-elective admissions -HWB'!$D63,'9.Non-elective admissions - Map'!R$5:R$870)</f>
        <v>7140.3723810202127</v>
      </c>
      <c r="O63" s="384">
        <f>SUMIF('9.Non-elective admissions - Map'!$C$5:$C$870,'10.Non-elective admissions -HWB'!$D63,'9.Non-elective admissions - Map'!S$5:S$870)</f>
        <v>7376.4582204405724</v>
      </c>
      <c r="P63" s="384">
        <f>SUMIF('9.Non-elective admissions - Map'!$C$5:$C$870,'10.Non-elective admissions -HWB'!$D63,'9.Non-elective admissions - Map'!T$5:T$870)</f>
        <v>7303.0423020019389</v>
      </c>
      <c r="Q63" s="384">
        <f>SUMIF('9.Non-elective admissions - Map'!$C$5:$C$870,'10.Non-elective admissions -HWB'!$D63,'9.Non-elective admissions - Map'!U$5:U$870)</f>
        <v>7225.1785250238545</v>
      </c>
    </row>
    <row r="64" spans="1:17">
      <c r="A64" s="380" t="s">
        <v>1205</v>
      </c>
      <c r="B64" s="381" t="s">
        <v>909</v>
      </c>
      <c r="C64" s="381" t="s">
        <v>910</v>
      </c>
      <c r="D64" s="381" t="s">
        <v>798</v>
      </c>
      <c r="E64" s="382" t="s">
        <v>510</v>
      </c>
      <c r="F64" s="384">
        <f>SUMIF('9.Non-elective admissions - Map'!$C$5:$C$870,'10.Non-elective admissions -HWB'!$D64,'9.Non-elective admissions - Map'!J$5:J$870)</f>
        <v>7340.9717906372261</v>
      </c>
      <c r="G64" s="384">
        <f>SUMIF('9.Non-elective admissions - Map'!$C$5:$C$870,'10.Non-elective admissions -HWB'!$D64,'9.Non-elective admissions - Map'!K$5:K$870)</f>
        <v>6963.1297989580135</v>
      </c>
      <c r="H64" s="384">
        <f>SUMIF('9.Non-elective admissions - Map'!$C$5:$C$870,'10.Non-elective admissions -HWB'!$D64,'9.Non-elective admissions - Map'!L$5:L$870)</f>
        <v>7303.0526610751813</v>
      </c>
      <c r="I64" s="384">
        <f>SUMIF('9.Non-elective admissions - Map'!$C$5:$C$870,'10.Non-elective admissions -HWB'!$D64,'9.Non-elective admissions - Map'!M$5:M$870)</f>
        <v>7102.4631382220587</v>
      </c>
      <c r="J64" s="384">
        <f>SUMIF('9.Non-elective admissions - Map'!$C$5:$C$870,'10.Non-elective admissions -HWB'!$D64,'9.Non-elective admissions - Map'!N$5:N$870)</f>
        <v>7736.169689469848</v>
      </c>
      <c r="K64" s="384">
        <f>SUMIF('9.Non-elective admissions - Map'!$C$5:$C$870,'10.Non-elective admissions -HWB'!$D64,'9.Non-elective admissions - Map'!O$5:O$870)</f>
        <v>7392.5765845430615</v>
      </c>
      <c r="L64" s="384">
        <f>SUMIF('9.Non-elective admissions - Map'!$C$5:$C$870,'10.Non-elective admissions -HWB'!$D64,'9.Non-elective admissions - Map'!P$5:P$870)</f>
        <v>7695.5816667647077</v>
      </c>
      <c r="M64" s="384">
        <f>SUMIF('9.Non-elective admissions - Map'!$C$5:$C$870,'10.Non-elective admissions -HWB'!$D64,'9.Non-elective admissions - Map'!Q$5:Q$870)</f>
        <v>8006.387204393729</v>
      </c>
      <c r="N64" s="384">
        <f>SUMIF('9.Non-elective admissions - Map'!$C$5:$C$870,'10.Non-elective admissions -HWB'!$D64,'9.Non-elective admissions - Map'!R$5:R$870)</f>
        <v>7596.5837702530289</v>
      </c>
      <c r="O64" s="384">
        <f>SUMIF('9.Non-elective admissions - Map'!$C$5:$C$870,'10.Non-elective admissions -HWB'!$D64,'9.Non-elective admissions - Map'!S$5:S$870)</f>
        <v>7260.5132347262697</v>
      </c>
      <c r="P64" s="384">
        <f>SUMIF('9.Non-elective admissions - Map'!$C$5:$C$870,'10.Non-elective admissions -HWB'!$D64,'9.Non-elective admissions - Map'!T$5:T$870)</f>
        <v>7558.0210246660299</v>
      </c>
      <c r="Q64" s="384">
        <f>SUMIF('9.Non-elective admissions - Map'!$C$5:$C$870,'10.Non-elective admissions -HWB'!$D64,'9.Non-elective admissions - Map'!U$5:U$870)</f>
        <v>7865.1159402565618</v>
      </c>
    </row>
    <row r="65" spans="1:17">
      <c r="A65" s="380" t="s">
        <v>1205</v>
      </c>
      <c r="B65" s="381" t="s">
        <v>941</v>
      </c>
      <c r="C65" s="381" t="s">
        <v>942</v>
      </c>
      <c r="D65" s="381" t="s">
        <v>682</v>
      </c>
      <c r="E65" s="382" t="s">
        <v>143</v>
      </c>
      <c r="F65" s="384">
        <f>SUMIF('9.Non-elective admissions - Map'!$C$5:$C$870,'10.Non-elective admissions -HWB'!$D65,'9.Non-elective admissions - Map'!J$5:J$870)</f>
        <v>7094.9237460284394</v>
      </c>
      <c r="G65" s="384">
        <f>SUMIF('9.Non-elective admissions - Map'!$C$5:$C$870,'10.Non-elective admissions -HWB'!$D65,'9.Non-elective admissions - Map'!K$5:K$870)</f>
        <v>7167.9332517318608</v>
      </c>
      <c r="H65" s="384">
        <f>SUMIF('9.Non-elective admissions - Map'!$C$5:$C$870,'10.Non-elective admissions -HWB'!$D65,'9.Non-elective admissions - Map'!L$5:L$870)</f>
        <v>7286.9487473305899</v>
      </c>
      <c r="I65" s="384">
        <f>SUMIF('9.Non-elective admissions - Map'!$C$5:$C$870,'10.Non-elective admissions -HWB'!$D65,'9.Non-elective admissions - Map'!M$5:M$870)</f>
        <v>7333.9548674410125</v>
      </c>
      <c r="J65" s="384">
        <f>SUMIF('9.Non-elective admissions - Map'!$C$5:$C$870,'10.Non-elective admissions -HWB'!$D65,'9.Non-elective admissions - Map'!N$5:N$870)</f>
        <v>6814.5053488401445</v>
      </c>
      <c r="K65" s="384">
        <f>SUMIF('9.Non-elective admissions - Map'!$C$5:$C$870,'10.Non-elective admissions -HWB'!$D65,'9.Non-elective admissions - Map'!O$5:O$870)</f>
        <v>6903.3991375000069</v>
      </c>
      <c r="L65" s="384">
        <f>SUMIF('9.Non-elective admissions - Map'!$C$5:$C$870,'10.Non-elective admissions -HWB'!$D65,'9.Non-elective admissions - Map'!P$5:P$870)</f>
        <v>7107.3923982145316</v>
      </c>
      <c r="M65" s="384">
        <f>SUMIF('9.Non-elective admissions - Map'!$C$5:$C$870,'10.Non-elective admissions -HWB'!$D65,'9.Non-elective admissions - Map'!Q$5:Q$870)</f>
        <v>7075.0206717052524</v>
      </c>
      <c r="N65" s="384">
        <f>SUMIF('9.Non-elective admissions - Map'!$C$5:$C$870,'10.Non-elective admissions -HWB'!$D65,'9.Non-elective admissions - Map'!R$5:R$870)</f>
        <v>6518.5380759018153</v>
      </c>
      <c r="O65" s="384">
        <f>SUMIF('9.Non-elective admissions - Map'!$C$5:$C$870,'10.Non-elective admissions -HWB'!$D65,'9.Non-elective admissions - Map'!S$5:S$870)</f>
        <v>6603.571033783106</v>
      </c>
      <c r="P65" s="384">
        <f>SUMIF('9.Non-elective admissions - Map'!$C$5:$C$870,'10.Non-elective admissions -HWB'!$D65,'9.Non-elective admissions - Map'!T$5:T$870)</f>
        <v>6798.7044688131145</v>
      </c>
      <c r="Q65" s="384">
        <f>SUMIF('9.Non-elective admissions - Map'!$C$5:$C$870,'10.Non-elective admissions -HWB'!$D65,'9.Non-elective admissions - Map'!U$5:U$870)</f>
        <v>6767.7387096637003</v>
      </c>
    </row>
    <row r="66" spans="1:17">
      <c r="A66" s="380" t="s">
        <v>1205</v>
      </c>
      <c r="B66" s="381" t="s">
        <v>941</v>
      </c>
      <c r="C66" s="381" t="s">
        <v>942</v>
      </c>
      <c r="D66" s="381" t="s">
        <v>683</v>
      </c>
      <c r="E66" s="382" t="s">
        <v>146</v>
      </c>
      <c r="F66" s="384">
        <f>SUMIF('9.Non-elective admissions - Map'!$C$5:$C$870,'10.Non-elective admissions -HWB'!$D66,'9.Non-elective admissions - Map'!J$5:J$870)</f>
        <v>23262.64051099732</v>
      </c>
      <c r="G66" s="384">
        <f>SUMIF('9.Non-elective admissions - Map'!$C$5:$C$870,'10.Non-elective admissions -HWB'!$D66,'9.Non-elective admissions - Map'!K$5:K$870)</f>
        <v>22998.141285431862</v>
      </c>
      <c r="H66" s="384">
        <f>SUMIF('9.Non-elective admissions - Map'!$C$5:$C$870,'10.Non-elective admissions -HWB'!$D66,'9.Non-elective admissions - Map'!L$5:L$870)</f>
        <v>23778.677265452636</v>
      </c>
      <c r="I66" s="384">
        <f>SUMIF('9.Non-elective admissions - Map'!$C$5:$C$870,'10.Non-elective admissions -HWB'!$D66,'9.Non-elective admissions - Map'!M$5:M$870)</f>
        <v>23855.225469015477</v>
      </c>
      <c r="J66" s="384">
        <f>SUMIF('9.Non-elective admissions - Map'!$C$5:$C$870,'10.Non-elective admissions -HWB'!$D66,'9.Non-elective admissions - Map'!N$5:N$870)</f>
        <v>22769.992285492117</v>
      </c>
      <c r="K66" s="384">
        <f>SUMIF('9.Non-elective admissions - Map'!$C$5:$C$870,'10.Non-elective admissions -HWB'!$D66,'9.Non-elective admissions - Map'!O$5:O$870)</f>
        <v>23007.65639490282</v>
      </c>
      <c r="L66" s="384">
        <f>SUMIF('9.Non-elective admissions - Map'!$C$5:$C$870,'10.Non-elective admissions -HWB'!$D66,'9.Non-elective admissions - Map'!P$5:P$870)</f>
        <v>23706.351989347335</v>
      </c>
      <c r="M66" s="384">
        <f>SUMIF('9.Non-elective admissions - Map'!$C$5:$C$870,'10.Non-elective admissions -HWB'!$D66,'9.Non-elective admissions - Map'!Q$5:Q$870)</f>
        <v>23413.592224733799</v>
      </c>
      <c r="N66" s="384">
        <f>SUMIF('9.Non-elective admissions - Map'!$C$5:$C$870,'10.Non-elective admissions -HWB'!$D66,'9.Non-elective admissions - Map'!R$5:R$870)</f>
        <v>22320.476126757319</v>
      </c>
      <c r="O66" s="384">
        <f>SUMIF('9.Non-elective admissions - Map'!$C$5:$C$870,'10.Non-elective admissions -HWB'!$D66,'9.Non-elective admissions - Map'!S$5:S$870)</f>
        <v>22552.010791442677</v>
      </c>
      <c r="P66" s="384">
        <f>SUMIF('9.Non-elective admissions - Map'!$C$5:$C$870,'10.Non-elective admissions -HWB'!$D66,'9.Non-elective admissions - Map'!T$5:T$870)</f>
        <v>23238.736696836793</v>
      </c>
      <c r="Q66" s="384">
        <f>SUMIF('9.Non-elective admissions - Map'!$C$5:$C$870,'10.Non-elective admissions -HWB'!$D66,'9.Non-elective admissions - Map'!U$5:U$870)</f>
        <v>22946.47327126671</v>
      </c>
    </row>
    <row r="67" spans="1:17">
      <c r="A67" s="380" t="s">
        <v>1205</v>
      </c>
      <c r="B67" s="381" t="s">
        <v>941</v>
      </c>
      <c r="C67" s="381" t="s">
        <v>942</v>
      </c>
      <c r="D67" s="381" t="s">
        <v>741</v>
      </c>
      <c r="E67" s="382" t="s">
        <v>339</v>
      </c>
      <c r="F67" s="384">
        <f>SUMIF('9.Non-elective admissions - Map'!$C$5:$C$870,'10.Non-elective admissions -HWB'!$D67,'9.Non-elective admissions - Map'!J$5:J$870)</f>
        <v>7858.0822613342152</v>
      </c>
      <c r="G67" s="384">
        <f>SUMIF('9.Non-elective admissions - Map'!$C$5:$C$870,'10.Non-elective admissions -HWB'!$D67,'9.Non-elective admissions - Map'!K$5:K$870)</f>
        <v>7739.7158530396537</v>
      </c>
      <c r="H67" s="384">
        <f>SUMIF('9.Non-elective admissions - Map'!$C$5:$C$870,'10.Non-elective admissions -HWB'!$D67,'9.Non-elective admissions - Map'!L$5:L$870)</f>
        <v>8054.8229459358226</v>
      </c>
      <c r="I67" s="384">
        <f>SUMIF('9.Non-elective admissions - Map'!$C$5:$C$870,'10.Non-elective admissions -HWB'!$D67,'9.Non-elective admissions - Map'!M$5:M$870)</f>
        <v>6836.6791783734488</v>
      </c>
      <c r="J67" s="384">
        <f>SUMIF('9.Non-elective admissions - Map'!$C$5:$C$870,'10.Non-elective admissions -HWB'!$D67,'9.Non-elective admissions - Map'!N$5:N$870)</f>
        <v>7592.0326652806689</v>
      </c>
      <c r="K67" s="384">
        <f>SUMIF('9.Non-elective admissions - Map'!$C$5:$C$870,'10.Non-elective admissions -HWB'!$D67,'9.Non-elective admissions - Map'!O$5:O$870)</f>
        <v>7616.9392562495523</v>
      </c>
      <c r="L67" s="384">
        <f>SUMIF('9.Non-elective admissions - Map'!$C$5:$C$870,'10.Non-elective admissions -HWB'!$D67,'9.Non-elective admissions - Map'!P$5:P$870)</f>
        <v>7791.9374522059034</v>
      </c>
      <c r="M67" s="384">
        <f>SUMIF('9.Non-elective admissions - Map'!$C$5:$C$870,'10.Non-elective admissions -HWB'!$D67,'9.Non-elective admissions - Map'!Q$5:Q$870)</f>
        <v>6410.95365799499</v>
      </c>
      <c r="N67" s="384">
        <f>SUMIF('9.Non-elective admissions - Map'!$C$5:$C$870,'10.Non-elective admissions -HWB'!$D67,'9.Non-elective admissions - Map'!R$5:R$870)</f>
        <v>7437.3606776016459</v>
      </c>
      <c r="O67" s="384">
        <f>SUMIF('9.Non-elective admissions - Map'!$C$5:$C$870,'10.Non-elective admissions -HWB'!$D67,'9.Non-elective admissions - Map'!S$5:S$870)</f>
        <v>7465.0125898085635</v>
      </c>
      <c r="P67" s="384">
        <f>SUMIF('9.Non-elective admissions - Map'!$C$5:$C$870,'10.Non-elective admissions -HWB'!$D67,'9.Non-elective admissions - Map'!T$5:T$870)</f>
        <v>7640.7728607978606</v>
      </c>
      <c r="Q67" s="384">
        <f>SUMIF('9.Non-elective admissions - Map'!$C$5:$C$870,'10.Non-elective admissions -HWB'!$D67,'9.Non-elective admissions - Map'!U$5:U$870)</f>
        <v>6238.9557356469804</v>
      </c>
    </row>
    <row r="68" spans="1:17">
      <c r="A68" s="380" t="s">
        <v>1205</v>
      </c>
      <c r="B68" s="381" t="s">
        <v>941</v>
      </c>
      <c r="C68" s="381" t="s">
        <v>942</v>
      </c>
      <c r="D68" s="381" t="s">
        <v>742</v>
      </c>
      <c r="E68" s="382" t="s">
        <v>342</v>
      </c>
      <c r="F68" s="384">
        <f>SUMIF('9.Non-elective admissions - Map'!$C$5:$C$870,'10.Non-elective admissions -HWB'!$D68,'9.Non-elective admissions - Map'!J$5:J$870)</f>
        <v>21071.164771537689</v>
      </c>
      <c r="G68" s="384">
        <f>SUMIF('9.Non-elective admissions - Map'!$C$5:$C$870,'10.Non-elective admissions -HWB'!$D68,'9.Non-elective admissions - Map'!K$5:K$870)</f>
        <v>20775.518233302966</v>
      </c>
      <c r="H68" s="384">
        <f>SUMIF('9.Non-elective admissions - Map'!$C$5:$C$870,'10.Non-elective admissions -HWB'!$D68,'9.Non-elective admissions - Map'!L$5:L$870)</f>
        <v>20865.948272161848</v>
      </c>
      <c r="I68" s="384">
        <f>SUMIF('9.Non-elective admissions - Map'!$C$5:$C$870,'10.Non-elective admissions -HWB'!$D68,'9.Non-elective admissions - Map'!M$5:M$870)</f>
        <v>19512.283897296824</v>
      </c>
      <c r="J68" s="384">
        <f>SUMIF('9.Non-elective admissions - Map'!$C$5:$C$870,'10.Non-elective admissions -HWB'!$D68,'9.Non-elective admissions - Map'!N$5:N$870)</f>
        <v>20324.812965608584</v>
      </c>
      <c r="K68" s="384">
        <f>SUMIF('9.Non-elective admissions - Map'!$C$5:$C$870,'10.Non-elective admissions -HWB'!$D68,'9.Non-elective admissions - Map'!O$5:O$870)</f>
        <v>20264.30819770473</v>
      </c>
      <c r="L68" s="384">
        <f>SUMIF('9.Non-elective admissions - Map'!$C$5:$C$870,'10.Non-elective admissions -HWB'!$D68,'9.Non-elective admissions - Map'!P$5:P$870)</f>
        <v>20330.004391150556</v>
      </c>
      <c r="M68" s="384">
        <f>SUMIF('9.Non-elective admissions - Map'!$C$5:$C$870,'10.Non-elective admissions -HWB'!$D68,'9.Non-elective admissions - Map'!Q$5:Q$870)</f>
        <v>18974.075138676584</v>
      </c>
      <c r="N68" s="384">
        <f>SUMIF('9.Non-elective admissions - Map'!$C$5:$C$870,'10.Non-elective admissions -HWB'!$D68,'9.Non-elective admissions - Map'!R$5:R$870)</f>
        <v>19023.291486901067</v>
      </c>
      <c r="O68" s="384">
        <f>SUMIF('9.Non-elective admissions - Map'!$C$5:$C$870,'10.Non-elective admissions -HWB'!$D68,'9.Non-elective admissions - Map'!S$5:S$870)</f>
        <v>18952.736727548745</v>
      </c>
      <c r="P68" s="384">
        <f>SUMIF('9.Non-elective admissions - Map'!$C$5:$C$870,'10.Non-elective admissions -HWB'!$D68,'9.Non-elective admissions - Map'!T$5:T$870)</f>
        <v>18984.647467208266</v>
      </c>
      <c r="Q68" s="384">
        <f>SUMIF('9.Non-elective admissions - Map'!$C$5:$C$870,'10.Non-elective admissions -HWB'!$D68,'9.Non-elective admissions - Map'!U$5:U$870)</f>
        <v>17601.795366125967</v>
      </c>
    </row>
    <row r="69" spans="1:17">
      <c r="A69" s="380" t="s">
        <v>1205</v>
      </c>
      <c r="B69" s="381" t="s">
        <v>928</v>
      </c>
      <c r="C69" s="381" t="s">
        <v>929</v>
      </c>
      <c r="D69" s="381" t="s">
        <v>670</v>
      </c>
      <c r="E69" s="382" t="s">
        <v>98</v>
      </c>
      <c r="F69" s="384">
        <f>SUMIF('9.Non-elective admissions - Map'!$C$5:$C$870,'10.Non-elective admissions -HWB'!$D69,'9.Non-elective admissions - Map'!J$5:J$870)</f>
        <v>12978.486416247228</v>
      </c>
      <c r="G69" s="384">
        <f>SUMIF('9.Non-elective admissions - Map'!$C$5:$C$870,'10.Non-elective admissions -HWB'!$D69,'9.Non-elective admissions - Map'!K$5:K$870)</f>
        <v>13242.712368425529</v>
      </c>
      <c r="H69" s="384">
        <f>SUMIF('9.Non-elective admissions - Map'!$C$5:$C$870,'10.Non-elective admissions -HWB'!$D69,'9.Non-elective admissions - Map'!L$5:L$870)</f>
        <v>13944.918459669372</v>
      </c>
      <c r="I69" s="384">
        <f>SUMIF('9.Non-elective admissions - Map'!$C$5:$C$870,'10.Non-elective admissions -HWB'!$D69,'9.Non-elective admissions - Map'!M$5:M$870)</f>
        <v>13787.507597228014</v>
      </c>
      <c r="J69" s="384">
        <f>SUMIF('9.Non-elective admissions - Map'!$C$5:$C$870,'10.Non-elective admissions -HWB'!$D69,'9.Non-elective admissions - Map'!N$5:N$870)</f>
        <v>12956.28950978693</v>
      </c>
      <c r="K69" s="384">
        <f>SUMIF('9.Non-elective admissions - Map'!$C$5:$C$870,'10.Non-elective admissions -HWB'!$D69,'9.Non-elective admissions - Map'!O$5:O$870)</f>
        <v>13186.904125250298</v>
      </c>
      <c r="L69" s="384">
        <f>SUMIF('9.Non-elective admissions - Map'!$C$5:$C$870,'10.Non-elective admissions -HWB'!$D69,'9.Non-elective admissions - Map'!P$5:P$870)</f>
        <v>13868.06906640196</v>
      </c>
      <c r="M69" s="384">
        <f>SUMIF('9.Non-elective admissions - Map'!$C$5:$C$870,'10.Non-elective admissions -HWB'!$D69,'9.Non-elective admissions - Map'!Q$5:Q$870)</f>
        <v>13521.818844119427</v>
      </c>
      <c r="N69" s="384">
        <f>SUMIF('9.Non-elective admissions - Map'!$C$5:$C$870,'10.Non-elective admissions -HWB'!$D69,'9.Non-elective admissions - Map'!R$5:R$870)</f>
        <v>12847.831229641461</v>
      </c>
      <c r="O69" s="384">
        <f>SUMIF('9.Non-elective admissions - Map'!$C$5:$C$870,'10.Non-elective admissions -HWB'!$D69,'9.Non-elective admissions - Map'!S$5:S$870)</f>
        <v>13079.226970751526</v>
      </c>
      <c r="P69" s="384">
        <f>SUMIF('9.Non-elective admissions - Map'!$C$5:$C$870,'10.Non-elective admissions -HWB'!$D69,'9.Non-elective admissions - Map'!T$5:T$870)</f>
        <v>13748.162887185226</v>
      </c>
      <c r="Q69" s="384">
        <f>SUMIF('9.Non-elective admissions - Map'!$C$5:$C$870,'10.Non-elective admissions -HWB'!$D69,'9.Non-elective admissions - Map'!U$5:U$870)</f>
        <v>13410.237383633852</v>
      </c>
    </row>
    <row r="70" spans="1:17">
      <c r="A70" s="380" t="s">
        <v>1205</v>
      </c>
      <c r="B70" s="381" t="s">
        <v>928</v>
      </c>
      <c r="C70" s="381" t="s">
        <v>929</v>
      </c>
      <c r="D70" s="381" t="s">
        <v>733</v>
      </c>
      <c r="E70" s="382" t="s">
        <v>315</v>
      </c>
      <c r="F70" s="384">
        <f>SUMIF('9.Non-elective admissions - Map'!$C$5:$C$870,'10.Non-elective admissions -HWB'!$D70,'9.Non-elective admissions - Map'!J$5:J$870)</f>
        <v>22136.994910014142</v>
      </c>
      <c r="G70" s="384">
        <f>SUMIF('9.Non-elective admissions - Map'!$C$5:$C$870,'10.Non-elective admissions -HWB'!$D70,'9.Non-elective admissions - Map'!K$5:K$870)</f>
        <v>21911.695916206703</v>
      </c>
      <c r="H70" s="384">
        <f>SUMIF('9.Non-elective admissions - Map'!$C$5:$C$870,'10.Non-elective admissions -HWB'!$D70,'9.Non-elective admissions - Map'!L$5:L$870)</f>
        <v>22592.041132014772</v>
      </c>
      <c r="I70" s="384">
        <f>SUMIF('9.Non-elective admissions - Map'!$C$5:$C$870,'10.Non-elective admissions -HWB'!$D70,'9.Non-elective admissions - Map'!M$5:M$870)</f>
        <v>22901.547357046729</v>
      </c>
      <c r="J70" s="384">
        <f>SUMIF('9.Non-elective admissions - Map'!$C$5:$C$870,'10.Non-elective admissions -HWB'!$D70,'9.Non-elective admissions - Map'!N$5:N$870)</f>
        <v>22966.608877797131</v>
      </c>
      <c r="K70" s="384">
        <f>SUMIF('9.Non-elective admissions - Map'!$C$5:$C$870,'10.Non-elective admissions -HWB'!$D70,'9.Non-elective admissions - Map'!O$5:O$870)</f>
        <v>22709.52610016071</v>
      </c>
      <c r="L70" s="384">
        <f>SUMIF('9.Non-elective admissions - Map'!$C$5:$C$870,'10.Non-elective admissions -HWB'!$D70,'9.Non-elective admissions - Map'!P$5:P$870)</f>
        <v>23020.855175129294</v>
      </c>
      <c r="M70" s="384">
        <f>SUMIF('9.Non-elective admissions - Map'!$C$5:$C$870,'10.Non-elective admissions -HWB'!$D70,'9.Non-elective admissions - Map'!Q$5:Q$870)</f>
        <v>22261.019298612377</v>
      </c>
      <c r="N70" s="384">
        <f>SUMIF('9.Non-elective admissions - Map'!$C$5:$C$870,'10.Non-elective admissions -HWB'!$D70,'9.Non-elective admissions - Map'!R$5:R$870)</f>
        <v>22718.838904798024</v>
      </c>
      <c r="O70" s="384">
        <f>SUMIF('9.Non-elective admissions - Map'!$C$5:$C$870,'10.Non-elective admissions -HWB'!$D70,'9.Non-elective admissions - Map'!S$5:S$870)</f>
        <v>22460.001738886636</v>
      </c>
      <c r="P70" s="384">
        <f>SUMIF('9.Non-elective admissions - Map'!$C$5:$C$870,'10.Non-elective admissions -HWB'!$D70,'9.Non-elective admissions - Map'!T$5:T$870)</f>
        <v>22962.028863170068</v>
      </c>
      <c r="Q70" s="384">
        <f>SUMIF('9.Non-elective admissions - Map'!$C$5:$C$870,'10.Non-elective admissions -HWB'!$D70,'9.Non-elective admissions - Map'!U$5:U$870)</f>
        <v>22200.067636368971</v>
      </c>
    </row>
    <row r="71" spans="1:17">
      <c r="A71" s="380" t="s">
        <v>1205</v>
      </c>
      <c r="B71" s="381" t="s">
        <v>928</v>
      </c>
      <c r="C71" s="381" t="s">
        <v>929</v>
      </c>
      <c r="D71" s="381" t="s">
        <v>745</v>
      </c>
      <c r="E71" s="382" t="s">
        <v>351</v>
      </c>
      <c r="F71" s="384">
        <f>SUMIF('9.Non-elective admissions - Map'!$C$5:$C$870,'10.Non-elective admissions -HWB'!$D71,'9.Non-elective admissions - Map'!J$5:J$870)</f>
        <v>4043.6760212922991</v>
      </c>
      <c r="G71" s="384">
        <f>SUMIF('9.Non-elective admissions - Map'!$C$5:$C$870,'10.Non-elective admissions -HWB'!$D71,'9.Non-elective admissions - Map'!K$5:K$870)</f>
        <v>4121.9805890072603</v>
      </c>
      <c r="H71" s="384">
        <f>SUMIF('9.Non-elective admissions - Map'!$C$5:$C$870,'10.Non-elective admissions -HWB'!$D71,'9.Non-elective admissions - Map'!L$5:L$870)</f>
        <v>4350.1438366180655</v>
      </c>
      <c r="I71" s="384">
        <f>SUMIF('9.Non-elective admissions - Map'!$C$5:$C$870,'10.Non-elective admissions -HWB'!$D71,'9.Non-elective admissions - Map'!M$5:M$870)</f>
        <v>4293.8031783512843</v>
      </c>
      <c r="J71" s="384">
        <f>SUMIF('9.Non-elective admissions - Map'!$C$5:$C$870,'10.Non-elective admissions -HWB'!$D71,'9.Non-elective admissions - Map'!N$5:N$870)</f>
        <v>4038.042768142107</v>
      </c>
      <c r="K71" s="384">
        <f>SUMIF('9.Non-elective admissions - Map'!$C$5:$C$870,'10.Non-elective admissions -HWB'!$D71,'9.Non-elective admissions - Map'!O$5:O$870)</f>
        <v>4099.1230599233731</v>
      </c>
      <c r="L71" s="384">
        <f>SUMIF('9.Non-elective admissions - Map'!$C$5:$C$870,'10.Non-elective admissions -HWB'!$D71,'9.Non-elective admissions - Map'!P$5:P$870)</f>
        <v>4321.8100259273733</v>
      </c>
      <c r="M71" s="384">
        <f>SUMIF('9.Non-elective admissions - Map'!$C$5:$C$870,'10.Non-elective admissions -HWB'!$D71,'9.Non-elective admissions - Map'!Q$5:Q$870)</f>
        <v>4205.7599166938662</v>
      </c>
      <c r="N71" s="384">
        <f>SUMIF('9.Non-elective admissions - Map'!$C$5:$C$870,'10.Non-elective admissions -HWB'!$D71,'9.Non-elective admissions - Map'!R$5:R$870)</f>
        <v>4006.526427433439</v>
      </c>
      <c r="O71" s="384">
        <f>SUMIF('9.Non-elective admissions - Map'!$C$5:$C$870,'10.Non-elective admissions -HWB'!$D71,'9.Non-elective admissions - Map'!S$5:S$870)</f>
        <v>4068.0236615933791</v>
      </c>
      <c r="P71" s="384">
        <f>SUMIF('9.Non-elective admissions - Map'!$C$5:$C$870,'10.Non-elective admissions -HWB'!$D71,'9.Non-elective admissions - Map'!T$5:T$870)</f>
        <v>4285.9799597151277</v>
      </c>
      <c r="Q71" s="384">
        <f>SUMIF('9.Non-elective admissions - Map'!$C$5:$C$870,'10.Non-elective admissions -HWB'!$D71,'9.Non-elective admissions - Map'!U$5:U$870)</f>
        <v>4172.1886718915539</v>
      </c>
    </row>
    <row r="72" spans="1:17">
      <c r="A72" s="380" t="s">
        <v>1205</v>
      </c>
      <c r="B72" s="381" t="s">
        <v>928</v>
      </c>
      <c r="C72" s="381" t="s">
        <v>929</v>
      </c>
      <c r="D72" s="381" t="s">
        <v>773</v>
      </c>
      <c r="E72" s="382" t="s">
        <v>435</v>
      </c>
      <c r="F72" s="384">
        <f>SUMIF('9.Non-elective admissions - Map'!$C$5:$C$870,'10.Non-elective admissions -HWB'!$D72,'9.Non-elective admissions - Map'!J$5:J$870)</f>
        <v>16285.881887121159</v>
      </c>
      <c r="G72" s="384">
        <f>SUMIF('9.Non-elective admissions - Map'!$C$5:$C$870,'10.Non-elective admissions -HWB'!$D72,'9.Non-elective admissions - Map'!K$5:K$870)</f>
        <v>15859.003888325602</v>
      </c>
      <c r="H72" s="384">
        <f>SUMIF('9.Non-elective admissions - Map'!$C$5:$C$870,'10.Non-elective admissions -HWB'!$D72,'9.Non-elective admissions - Map'!L$5:L$870)</f>
        <v>17262.916768650939</v>
      </c>
      <c r="I72" s="384">
        <f>SUMIF('9.Non-elective admissions - Map'!$C$5:$C$870,'10.Non-elective admissions -HWB'!$D72,'9.Non-elective admissions - Map'!M$5:M$870)</f>
        <v>17301.286132045956</v>
      </c>
      <c r="J72" s="384">
        <f>SUMIF('9.Non-elective admissions - Map'!$C$5:$C$870,'10.Non-elective admissions -HWB'!$D72,'9.Non-elective admissions - Map'!N$5:N$870)</f>
        <v>15393.898303170208</v>
      </c>
      <c r="K72" s="384">
        <f>SUMIF('9.Non-elective admissions - Map'!$C$5:$C$870,'10.Non-elective admissions -HWB'!$D72,'9.Non-elective admissions - Map'!O$5:O$870)</f>
        <v>15477.899532989624</v>
      </c>
      <c r="L72" s="384">
        <f>SUMIF('9.Non-elective admissions - Map'!$C$5:$C$870,'10.Non-elective admissions -HWB'!$D72,'9.Non-elective admissions - Map'!P$5:P$870)</f>
        <v>15425.524542028299</v>
      </c>
      <c r="M72" s="384">
        <f>SUMIF('9.Non-elective admissions - Map'!$C$5:$C$870,'10.Non-elective admissions -HWB'!$D72,'9.Non-elective admissions - Map'!Q$5:Q$870)</f>
        <v>15090.892344238657</v>
      </c>
      <c r="N72" s="384">
        <f>SUMIF('9.Non-elective admissions - Map'!$C$5:$C$870,'10.Non-elective admissions -HWB'!$D72,'9.Non-elective admissions - Map'!R$5:R$870)</f>
        <v>14362.887307090332</v>
      </c>
      <c r="O72" s="384">
        <f>SUMIF('9.Non-elective admissions - Map'!$C$5:$C$870,'10.Non-elective admissions -HWB'!$D72,'9.Non-elective admissions - Map'!S$5:S$870)</f>
        <v>14436.401261088018</v>
      </c>
      <c r="P72" s="384">
        <f>SUMIF('9.Non-elective admissions - Map'!$C$5:$C$870,'10.Non-elective admissions -HWB'!$D72,'9.Non-elective admissions - Map'!T$5:T$870)</f>
        <v>14386.102735922464</v>
      </c>
      <c r="Q72" s="384">
        <f>SUMIF('9.Non-elective admissions - Map'!$C$5:$C$870,'10.Non-elective admissions -HWB'!$D72,'9.Non-elective admissions - Map'!U$5:U$870)</f>
        <v>14073.07266248497</v>
      </c>
    </row>
    <row r="73" spans="1:17">
      <c r="A73" s="380" t="s">
        <v>1205</v>
      </c>
      <c r="B73" s="381" t="s">
        <v>946</v>
      </c>
      <c r="C73" s="381" t="s">
        <v>947</v>
      </c>
      <c r="D73" s="381" t="s">
        <v>692</v>
      </c>
      <c r="E73" s="382" t="s">
        <v>180</v>
      </c>
      <c r="F73" s="384">
        <f>SUMIF('9.Non-elective admissions - Map'!$C$5:$C$870,'10.Non-elective admissions -HWB'!$D73,'9.Non-elective admissions - Map'!J$5:J$870)</f>
        <v>32060.921016900182</v>
      </c>
      <c r="G73" s="384">
        <f>SUMIF('9.Non-elective admissions - Map'!$C$5:$C$870,'10.Non-elective admissions -HWB'!$D73,'9.Non-elective admissions - Map'!K$5:K$870)</f>
        <v>32760.931552103779</v>
      </c>
      <c r="H73" s="384">
        <f>SUMIF('9.Non-elective admissions - Map'!$C$5:$C$870,'10.Non-elective admissions -HWB'!$D73,'9.Non-elective admissions - Map'!L$5:L$870)</f>
        <v>34961.962103524631</v>
      </c>
      <c r="I73" s="384">
        <f>SUMIF('9.Non-elective admissions - Map'!$C$5:$C$870,'10.Non-elective admissions -HWB'!$D73,'9.Non-elective admissions - Map'!M$5:M$870)</f>
        <v>35105.598027277199</v>
      </c>
      <c r="J73" s="384">
        <f>SUMIF('9.Non-elective admissions - Map'!$C$5:$C$870,'10.Non-elective admissions -HWB'!$D73,'9.Non-elective admissions - Map'!N$5:N$870)</f>
        <v>33753.621454693901</v>
      </c>
      <c r="K73" s="384">
        <f>SUMIF('9.Non-elective admissions - Map'!$C$5:$C$870,'10.Non-elective admissions -HWB'!$D73,'9.Non-elective admissions - Map'!O$5:O$870)</f>
        <v>33923.955272729007</v>
      </c>
      <c r="L73" s="384">
        <f>SUMIF('9.Non-elective admissions - Map'!$C$5:$C$870,'10.Non-elective admissions -HWB'!$D73,'9.Non-elective admissions - Map'!P$5:P$870)</f>
        <v>33974.377148210791</v>
      </c>
      <c r="M73" s="384">
        <f>SUMIF('9.Non-elective admissions - Map'!$C$5:$C$870,'10.Non-elective admissions -HWB'!$D73,'9.Non-elective admissions - Map'!Q$5:Q$870)</f>
        <v>33523.510920314402</v>
      </c>
      <c r="N73" s="384">
        <f>SUMIF('9.Non-elective admissions - Map'!$C$5:$C$870,'10.Non-elective admissions -HWB'!$D73,'9.Non-elective admissions - Map'!R$5:R$870)</f>
        <v>33751.943886876521</v>
      </c>
      <c r="O73" s="384">
        <f>SUMIF('9.Non-elective admissions - Map'!$C$5:$C$870,'10.Non-elective admissions -HWB'!$D73,'9.Non-elective admissions - Map'!S$5:S$870)</f>
        <v>33915.633040709603</v>
      </c>
      <c r="P73" s="384">
        <f>SUMIF('9.Non-elective admissions - Map'!$C$5:$C$870,'10.Non-elective admissions -HWB'!$D73,'9.Non-elective admissions - Map'!T$5:T$870)</f>
        <v>33966.352739285758</v>
      </c>
      <c r="Q73" s="384">
        <f>SUMIF('9.Non-elective admissions - Map'!$C$5:$C$870,'10.Non-elective admissions -HWB'!$D73,'9.Non-elective admissions - Map'!U$5:U$870)</f>
        <v>33706.143841358476</v>
      </c>
    </row>
    <row r="74" spans="1:17">
      <c r="A74" s="380" t="s">
        <v>1205</v>
      </c>
      <c r="B74" s="381" t="s">
        <v>946</v>
      </c>
      <c r="C74" s="381" t="s">
        <v>947</v>
      </c>
      <c r="D74" s="381" t="s">
        <v>766</v>
      </c>
      <c r="E74" s="382" t="s">
        <v>414</v>
      </c>
      <c r="F74" s="384">
        <f>SUMIF('9.Non-elective admissions - Map'!$C$5:$C$870,'10.Non-elective admissions -HWB'!$D74,'9.Non-elective admissions - Map'!J$5:J$870)</f>
        <v>4303.8107933442479</v>
      </c>
      <c r="G74" s="384">
        <f>SUMIF('9.Non-elective admissions - Map'!$C$5:$C$870,'10.Non-elective admissions -HWB'!$D74,'9.Non-elective admissions - Map'!K$5:K$870)</f>
        <v>4653.4140122650497</v>
      </c>
      <c r="H74" s="384">
        <f>SUMIF('9.Non-elective admissions - Map'!$C$5:$C$870,'10.Non-elective admissions -HWB'!$D74,'9.Non-elective admissions - Map'!L$5:L$870)</f>
        <v>4553.3598619235509</v>
      </c>
      <c r="I74" s="384">
        <f>SUMIF('9.Non-elective admissions - Map'!$C$5:$C$870,'10.Non-elective admissions -HWB'!$D74,'9.Non-elective admissions - Map'!M$5:M$870)</f>
        <v>4845.9555867468225</v>
      </c>
      <c r="J74" s="384">
        <f>SUMIF('9.Non-elective admissions - Map'!$C$5:$C$870,'10.Non-elective admissions -HWB'!$D74,'9.Non-elective admissions - Map'!N$5:N$870)</f>
        <v>4433.751364582703</v>
      </c>
      <c r="K74" s="384">
        <f>SUMIF('9.Non-elective admissions - Map'!$C$5:$C$870,'10.Non-elective admissions -HWB'!$D74,'9.Non-elective admissions - Map'!O$5:O$870)</f>
        <v>4765.7644770172928</v>
      </c>
      <c r="L74" s="384">
        <f>SUMIF('9.Non-elective admissions - Map'!$C$5:$C$870,'10.Non-elective admissions -HWB'!$D74,'9.Non-elective admissions - Map'!P$5:P$870)</f>
        <v>4644.664795169273</v>
      </c>
      <c r="M74" s="384">
        <f>SUMIF('9.Non-elective admissions - Map'!$C$5:$C$870,'10.Non-elective admissions -HWB'!$D74,'9.Non-elective admissions - Map'!Q$5:Q$870)</f>
        <v>4620.5306237226923</v>
      </c>
      <c r="N74" s="384">
        <f>SUMIF('9.Non-elective admissions - Map'!$C$5:$C$870,'10.Non-elective admissions -HWB'!$D74,'9.Non-elective admissions - Map'!R$5:R$870)</f>
        <v>4368.0907424162342</v>
      </c>
      <c r="O74" s="384">
        <f>SUMIF('9.Non-elective admissions - Map'!$C$5:$C$870,'10.Non-elective admissions -HWB'!$D74,'9.Non-elective admissions - Map'!S$5:S$870)</f>
        <v>4694.1912637471605</v>
      </c>
      <c r="P74" s="384">
        <f>SUMIF('9.Non-elective admissions - Map'!$C$5:$C$870,'10.Non-elective admissions -HWB'!$D74,'9.Non-elective admissions - Map'!T$5:T$870)</f>
        <v>4575.5021166159886</v>
      </c>
      <c r="Q74" s="384">
        <f>SUMIF('9.Non-elective admissions - Map'!$C$5:$C$870,'10.Non-elective admissions -HWB'!$D74,'9.Non-elective admissions - Map'!U$5:U$870)</f>
        <v>4551.8668490978871</v>
      </c>
    </row>
    <row r="75" spans="1:17">
      <c r="A75" s="380" t="s">
        <v>1205</v>
      </c>
      <c r="B75" s="381" t="s">
        <v>946</v>
      </c>
      <c r="C75" s="381" t="s">
        <v>947</v>
      </c>
      <c r="D75" s="381" t="s">
        <v>780</v>
      </c>
      <c r="E75" s="382" t="s">
        <v>456</v>
      </c>
      <c r="F75" s="384">
        <f>SUMIF('9.Non-elective admissions - Map'!$C$5:$C$870,'10.Non-elective admissions -HWB'!$D75,'9.Non-elective admissions - Map'!J$5:J$870)</f>
        <v>3377.6546387215826</v>
      </c>
      <c r="G75" s="384">
        <f>SUMIF('9.Non-elective admissions - Map'!$C$5:$C$870,'10.Non-elective admissions -HWB'!$D75,'9.Non-elective admissions - Map'!K$5:K$870)</f>
        <v>3511.9751168034804</v>
      </c>
      <c r="H75" s="384">
        <f>SUMIF('9.Non-elective admissions - Map'!$C$5:$C$870,'10.Non-elective admissions -HWB'!$D75,'9.Non-elective admissions - Map'!L$5:L$870)</f>
        <v>3282.7292869714092</v>
      </c>
      <c r="I75" s="384">
        <f>SUMIF('9.Non-elective admissions - Map'!$C$5:$C$870,'10.Non-elective admissions -HWB'!$D75,'9.Non-elective admissions - Map'!M$5:M$870)</f>
        <v>3431.4723615368512</v>
      </c>
      <c r="J75" s="384">
        <f>SUMIF('9.Non-elective admissions - Map'!$C$5:$C$870,'10.Non-elective admissions -HWB'!$D75,'9.Non-elective admissions - Map'!N$5:N$870)</f>
        <v>3453.5417400377291</v>
      </c>
      <c r="K75" s="384">
        <f>SUMIF('9.Non-elective admissions - Map'!$C$5:$C$870,'10.Non-elective admissions -HWB'!$D75,'9.Non-elective admissions - Map'!O$5:O$870)</f>
        <v>3483.7662104868023</v>
      </c>
      <c r="L75" s="384">
        <f>SUMIF('9.Non-elective admissions - Map'!$C$5:$C$870,'10.Non-elective admissions -HWB'!$D75,'9.Non-elective admissions - Map'!P$5:P$870)</f>
        <v>3477.1936474896843</v>
      </c>
      <c r="M75" s="384">
        <f>SUMIF('9.Non-elective admissions - Map'!$C$5:$C$870,'10.Non-elective admissions -HWB'!$D75,'9.Non-elective admissions - Map'!Q$5:Q$870)</f>
        <v>3424.7244063448679</v>
      </c>
      <c r="N75" s="384">
        <f>SUMIF('9.Non-elective admissions - Map'!$C$5:$C$870,'10.Non-elective admissions -HWB'!$D75,'9.Non-elective admissions - Map'!R$5:R$870)</f>
        <v>3460.2867287373028</v>
      </c>
      <c r="O75" s="384">
        <f>SUMIF('9.Non-elective admissions - Map'!$C$5:$C$870,'10.Non-elective admissions -HWB'!$D75,'9.Non-elective admissions - Map'!S$5:S$870)</f>
        <v>3489.4411645470541</v>
      </c>
      <c r="P75" s="384">
        <f>SUMIF('9.Non-elective admissions - Map'!$C$5:$C$870,'10.Non-elective admissions -HWB'!$D75,'9.Non-elective admissions - Map'!T$5:T$870)</f>
        <v>3482.7838073222533</v>
      </c>
      <c r="Q75" s="384">
        <f>SUMIF('9.Non-elective admissions - Map'!$C$5:$C$870,'10.Non-elective admissions -HWB'!$D75,'9.Non-elective admissions - Map'!U$5:U$870)</f>
        <v>3429.514205471075</v>
      </c>
    </row>
    <row r="76" spans="1:17">
      <c r="A76" s="380" t="s">
        <v>1205</v>
      </c>
      <c r="B76" s="381" t="s">
        <v>905</v>
      </c>
      <c r="C76" s="381" t="s">
        <v>906</v>
      </c>
      <c r="D76" s="381" t="s">
        <v>654</v>
      </c>
      <c r="E76" s="382" t="s">
        <v>34</v>
      </c>
      <c r="F76" s="384">
        <f>SUMIF('9.Non-elective admissions - Map'!$C$5:$C$870,'10.Non-elective admissions -HWB'!$D76,'9.Non-elective admissions - Map'!J$5:J$870)</f>
        <v>3480.5385523996347</v>
      </c>
      <c r="G76" s="384">
        <f>SUMIF('9.Non-elective admissions - Map'!$C$5:$C$870,'10.Non-elective admissions -HWB'!$D76,'9.Non-elective admissions - Map'!K$5:K$870)</f>
        <v>3419.1134393732559</v>
      </c>
      <c r="H76" s="384">
        <f>SUMIF('9.Non-elective admissions - Map'!$C$5:$C$870,'10.Non-elective admissions -HWB'!$D76,'9.Non-elective admissions - Map'!L$5:L$870)</f>
        <v>3504.852719401149</v>
      </c>
      <c r="I76" s="384">
        <f>SUMIF('9.Non-elective admissions - Map'!$C$5:$C$870,'10.Non-elective admissions -HWB'!$D76,'9.Non-elective admissions - Map'!M$5:M$870)</f>
        <v>3448.8116812339817</v>
      </c>
      <c r="J76" s="384">
        <f>SUMIF('9.Non-elective admissions - Map'!$C$5:$C$870,'10.Non-elective admissions -HWB'!$D76,'9.Non-elective admissions - Map'!N$5:N$870)</f>
        <v>3458.976564422142</v>
      </c>
      <c r="K76" s="384">
        <f>SUMIF('9.Non-elective admissions - Map'!$C$5:$C$870,'10.Non-elective admissions -HWB'!$D76,'9.Non-elective admissions - Map'!O$5:O$870)</f>
        <v>3397.6953616691358</v>
      </c>
      <c r="L76" s="384">
        <f>SUMIF('9.Non-elective admissions - Map'!$C$5:$C$870,'10.Non-elective admissions -HWB'!$D76,'9.Non-elective admissions - Map'!P$5:P$870)</f>
        <v>3403.005063691191</v>
      </c>
      <c r="M76" s="384">
        <f>SUMIF('9.Non-elective admissions - Map'!$C$5:$C$870,'10.Non-elective admissions -HWB'!$D76,'9.Non-elective admissions - Map'!Q$5:Q$870)</f>
        <v>3379.7001440607341</v>
      </c>
      <c r="N76" s="384">
        <f>SUMIF('9.Non-elective admissions - Map'!$C$5:$C$870,'10.Non-elective admissions -HWB'!$D76,'9.Non-elective admissions - Map'!R$5:R$870)</f>
        <v>3552.1764415109378</v>
      </c>
      <c r="O76" s="384">
        <f>SUMIF('9.Non-elective admissions - Map'!$C$5:$C$870,'10.Non-elective admissions -HWB'!$D76,'9.Non-elective admissions - Map'!S$5:S$870)</f>
        <v>3490.5328497159453</v>
      </c>
      <c r="P76" s="384">
        <f>SUMIF('9.Non-elective admissions - Map'!$C$5:$C$870,'10.Non-elective admissions -HWB'!$D76,'9.Non-elective admissions - Map'!T$5:T$870)</f>
        <v>3495.7740173996413</v>
      </c>
      <c r="Q76" s="384">
        <f>SUMIF('9.Non-elective admissions - Map'!$C$5:$C$870,'10.Non-elective admissions -HWB'!$D76,'9.Non-elective admissions - Map'!U$5:U$870)</f>
        <v>3472.5032289396204</v>
      </c>
    </row>
    <row r="77" spans="1:17">
      <c r="A77" s="380" t="s">
        <v>1205</v>
      </c>
      <c r="B77" s="381" t="s">
        <v>905</v>
      </c>
      <c r="C77" s="381" t="s">
        <v>906</v>
      </c>
      <c r="D77" s="381" t="s">
        <v>672</v>
      </c>
      <c r="E77" s="382" t="s">
        <v>106</v>
      </c>
      <c r="F77" s="384">
        <f>SUMIF('9.Non-elective admissions - Map'!$C$5:$C$870,'10.Non-elective admissions -HWB'!$D77,'9.Non-elective admissions - Map'!J$5:J$870)</f>
        <v>5462.0685467047097</v>
      </c>
      <c r="G77" s="384">
        <f>SUMIF('9.Non-elective admissions - Map'!$C$5:$C$870,'10.Non-elective admissions -HWB'!$D77,'9.Non-elective admissions - Map'!K$5:K$870)</f>
        <v>5364.143393540402</v>
      </c>
      <c r="H77" s="384">
        <f>SUMIF('9.Non-elective admissions - Map'!$C$5:$C$870,'10.Non-elective admissions -HWB'!$D77,'9.Non-elective admissions - Map'!L$5:L$870)</f>
        <v>5515.407663878218</v>
      </c>
      <c r="I77" s="384">
        <f>SUMIF('9.Non-elective admissions - Map'!$C$5:$C$870,'10.Non-elective admissions -HWB'!$D77,'9.Non-elective admissions - Map'!M$5:M$870)</f>
        <v>5433.1839247869657</v>
      </c>
      <c r="J77" s="384">
        <f>SUMIF('9.Non-elective admissions - Map'!$C$5:$C$870,'10.Non-elective admissions -HWB'!$D77,'9.Non-elective admissions - Map'!N$5:N$870)</f>
        <v>5453.6840722832758</v>
      </c>
      <c r="K77" s="384">
        <f>SUMIF('9.Non-elective admissions - Map'!$C$5:$C$870,'10.Non-elective admissions -HWB'!$D77,'9.Non-elective admissions - Map'!O$5:O$870)</f>
        <v>5358.2352158379599</v>
      </c>
      <c r="L77" s="384">
        <f>SUMIF('9.Non-elective admissions - Map'!$C$5:$C$870,'10.Non-elective admissions -HWB'!$D77,'9.Non-elective admissions - Map'!P$5:P$870)</f>
        <v>5357.2836955219946</v>
      </c>
      <c r="M77" s="384">
        <f>SUMIF('9.Non-elective admissions - Map'!$C$5:$C$870,'10.Non-elective admissions -HWB'!$D77,'9.Non-elective admissions - Map'!Q$5:Q$870)</f>
        <v>5317.0042612792595</v>
      </c>
      <c r="N77" s="384">
        <f>SUMIF('9.Non-elective admissions - Map'!$C$5:$C$870,'10.Non-elective admissions -HWB'!$D77,'9.Non-elective admissions - Map'!R$5:R$870)</f>
        <v>5577.2242787871364</v>
      </c>
      <c r="O77" s="384">
        <f>SUMIF('9.Non-elective admissions - Map'!$C$5:$C$870,'10.Non-elective admissions -HWB'!$D77,'9.Non-elective admissions - Map'!S$5:S$870)</f>
        <v>5482.462511594741</v>
      </c>
      <c r="P77" s="384">
        <f>SUMIF('9.Non-elective admissions - Map'!$C$5:$C$870,'10.Non-elective admissions -HWB'!$D77,'9.Non-elective admissions - Map'!T$5:T$870)</f>
        <v>5487.2934787347504</v>
      </c>
      <c r="Q77" s="384">
        <f>SUMIF('9.Non-elective admissions - Map'!$C$5:$C$870,'10.Non-elective admissions -HWB'!$D77,'9.Non-elective admissions - Map'!U$5:U$870)</f>
        <v>5450.1562968333346</v>
      </c>
    </row>
    <row r="78" spans="1:17">
      <c r="A78" s="380" t="s">
        <v>1205</v>
      </c>
      <c r="B78" s="381" t="s">
        <v>905</v>
      </c>
      <c r="C78" s="381" t="s">
        <v>906</v>
      </c>
      <c r="D78" s="381" t="s">
        <v>705</v>
      </c>
      <c r="E78" s="382" t="s">
        <v>227</v>
      </c>
      <c r="F78" s="384">
        <f>SUMIF('9.Non-elective admissions - Map'!$C$5:$C$870,'10.Non-elective admissions -HWB'!$D78,'9.Non-elective admissions - Map'!J$5:J$870)</f>
        <v>24061.575636815094</v>
      </c>
      <c r="G78" s="384">
        <f>SUMIF('9.Non-elective admissions - Map'!$C$5:$C$870,'10.Non-elective admissions -HWB'!$D78,'9.Non-elective admissions - Map'!K$5:K$870)</f>
        <v>24824.853782663115</v>
      </c>
      <c r="H78" s="384">
        <f>SUMIF('9.Non-elective admissions - Map'!$C$5:$C$870,'10.Non-elective admissions -HWB'!$D78,'9.Non-elective admissions - Map'!L$5:L$870)</f>
        <v>26422.075739325064</v>
      </c>
      <c r="I78" s="384">
        <f>SUMIF('9.Non-elective admissions - Map'!$C$5:$C$870,'10.Non-elective admissions -HWB'!$D78,'9.Non-elective admissions - Map'!M$5:M$870)</f>
        <v>26879.228035007935</v>
      </c>
      <c r="J78" s="384">
        <f>SUMIF('9.Non-elective admissions - Map'!$C$5:$C$870,'10.Non-elective admissions -HWB'!$D78,'9.Non-elective admissions - Map'!N$5:N$870)</f>
        <v>24642.757232088559</v>
      </c>
      <c r="K78" s="384">
        <f>SUMIF('9.Non-elective admissions - Map'!$C$5:$C$870,'10.Non-elective admissions -HWB'!$D78,'9.Non-elective admissions - Map'!O$5:O$870)</f>
        <v>24921.837664983341</v>
      </c>
      <c r="L78" s="384">
        <f>SUMIF('9.Non-elective admissions - Map'!$C$5:$C$870,'10.Non-elective admissions -HWB'!$D78,'9.Non-elective admissions - Map'!P$5:P$870)</f>
        <v>25324.080463166531</v>
      </c>
      <c r="M78" s="384">
        <f>SUMIF('9.Non-elective admissions - Map'!$C$5:$C$870,'10.Non-elective admissions -HWB'!$D78,'9.Non-elective admissions - Map'!Q$5:Q$870)</f>
        <v>24810.921695342204</v>
      </c>
      <c r="N78" s="384">
        <f>SUMIF('9.Non-elective admissions - Map'!$C$5:$C$870,'10.Non-elective admissions -HWB'!$D78,'9.Non-elective admissions - Map'!R$5:R$870)</f>
        <v>22702.157878001119</v>
      </c>
      <c r="O78" s="384">
        <f>SUMIF('9.Non-elective admissions - Map'!$C$5:$C$870,'10.Non-elective admissions -HWB'!$D78,'9.Non-elective admissions - Map'!S$5:S$870)</f>
        <v>22954.63667293956</v>
      </c>
      <c r="P78" s="384">
        <f>SUMIF('9.Non-elective admissions - Map'!$C$5:$C$870,'10.Non-elective admissions -HWB'!$D78,'9.Non-elective admissions - Map'!T$5:T$870)</f>
        <v>24058.291479853786</v>
      </c>
      <c r="Q78" s="384">
        <f>SUMIF('9.Non-elective admissions - Map'!$C$5:$C$870,'10.Non-elective admissions -HWB'!$D78,'9.Non-elective admissions - Map'!U$5:U$870)</f>
        <v>23957.646741450139</v>
      </c>
    </row>
    <row r="79" spans="1:17">
      <c r="A79" s="380" t="s">
        <v>1205</v>
      </c>
      <c r="B79" s="381" t="s">
        <v>905</v>
      </c>
      <c r="C79" s="381" t="s">
        <v>906</v>
      </c>
      <c r="D79" s="381" t="s">
        <v>725</v>
      </c>
      <c r="E79" s="382" t="s">
        <v>291</v>
      </c>
      <c r="F79" s="384">
        <f>SUMIF('9.Non-elective admissions - Map'!$C$5:$C$870,'10.Non-elective admissions -HWB'!$D79,'9.Non-elective admissions - Map'!J$5:J$870)</f>
        <v>5367.603340643569</v>
      </c>
      <c r="G79" s="384">
        <f>SUMIF('9.Non-elective admissions - Map'!$C$5:$C$870,'10.Non-elective admissions -HWB'!$D79,'9.Non-elective admissions - Map'!K$5:K$870)</f>
        <v>5378.330376175355</v>
      </c>
      <c r="H79" s="384">
        <f>SUMIF('9.Non-elective admissions - Map'!$C$5:$C$870,'10.Non-elective admissions -HWB'!$D79,'9.Non-elective admissions - Map'!L$5:L$870)</f>
        <v>6053.5914065178367</v>
      </c>
      <c r="I79" s="384">
        <f>SUMIF('9.Non-elective admissions - Map'!$C$5:$C$870,'10.Non-elective admissions -HWB'!$D79,'9.Non-elective admissions - Map'!M$5:M$870)</f>
        <v>6020.1231970959034</v>
      </c>
      <c r="J79" s="384">
        <f>SUMIF('9.Non-elective admissions - Map'!$C$5:$C$870,'10.Non-elective admissions -HWB'!$D79,'9.Non-elective admissions - Map'!N$5:N$870)</f>
        <v>5684.0681865941979</v>
      </c>
      <c r="K79" s="384">
        <f>SUMIF('9.Non-elective admissions - Map'!$C$5:$C$870,'10.Non-elective admissions -HWB'!$D79,'9.Non-elective admissions - Map'!O$5:O$870)</f>
        <v>5651.0963738376468</v>
      </c>
      <c r="L79" s="384">
        <f>SUMIF('9.Non-elective admissions - Map'!$C$5:$C$870,'10.Non-elective admissions -HWB'!$D79,'9.Non-elective admissions - Map'!P$5:P$870)</f>
        <v>5527.727279547239</v>
      </c>
      <c r="M79" s="384">
        <f>SUMIF('9.Non-elective admissions - Map'!$C$5:$C$870,'10.Non-elective admissions -HWB'!$D79,'9.Non-elective admissions - Map'!Q$5:Q$870)</f>
        <v>5347.7104705337442</v>
      </c>
      <c r="N79" s="384">
        <f>SUMIF('9.Non-elective admissions - Map'!$C$5:$C$870,'10.Non-elective admissions -HWB'!$D79,'9.Non-elective admissions - Map'!R$5:R$870)</f>
        <v>5252.5104660022125</v>
      </c>
      <c r="O79" s="384">
        <f>SUMIF('9.Non-elective admissions - Map'!$C$5:$C$870,'10.Non-elective admissions -HWB'!$D79,'9.Non-elective admissions - Map'!S$5:S$870)</f>
        <v>5270.0386200951516</v>
      </c>
      <c r="P79" s="384">
        <f>SUMIF('9.Non-elective admissions - Map'!$C$5:$C$870,'10.Non-elective admissions -HWB'!$D79,'9.Non-elective admissions - Map'!T$5:T$870)</f>
        <v>5270.0612482713659</v>
      </c>
      <c r="Q79" s="384">
        <f>SUMIF('9.Non-elective admissions - Map'!$C$5:$C$870,'10.Non-elective admissions -HWB'!$D79,'9.Non-elective admissions - Map'!U$5:U$870)</f>
        <v>5147.3681528447269</v>
      </c>
    </row>
    <row r="80" spans="1:17">
      <c r="A80" s="380" t="s">
        <v>1205</v>
      </c>
      <c r="B80" s="381" t="s">
        <v>905</v>
      </c>
      <c r="C80" s="381" t="s">
        <v>906</v>
      </c>
      <c r="D80" s="381" t="s">
        <v>730</v>
      </c>
      <c r="E80" s="382" t="s">
        <v>306</v>
      </c>
      <c r="F80" s="384">
        <f>SUMIF('9.Non-elective admissions - Map'!$C$5:$C$870,'10.Non-elective admissions -HWB'!$D80,'9.Non-elective admissions - Map'!J$5:J$870)</f>
        <v>7241.7391286926941</v>
      </c>
      <c r="G80" s="384">
        <f>SUMIF('9.Non-elective admissions - Map'!$C$5:$C$870,'10.Non-elective admissions -HWB'!$D80,'9.Non-elective admissions - Map'!K$5:K$870)</f>
        <v>7171.7033764987518</v>
      </c>
      <c r="H80" s="384">
        <f>SUMIF('9.Non-elective admissions - Map'!$C$5:$C$870,'10.Non-elective admissions -HWB'!$D80,'9.Non-elective admissions - Map'!L$5:L$870)</f>
        <v>7312.7786305793434</v>
      </c>
      <c r="I80" s="384">
        <f>SUMIF('9.Non-elective admissions - Map'!$C$5:$C$870,'10.Non-elective admissions -HWB'!$D80,'9.Non-elective admissions - Map'!M$5:M$870)</f>
        <v>6607.340414131997</v>
      </c>
      <c r="J80" s="384">
        <f>SUMIF('9.Non-elective admissions - Map'!$C$5:$C$870,'10.Non-elective admissions -HWB'!$D80,'9.Non-elective admissions - Map'!N$5:N$870)</f>
        <v>7243.5074769650728</v>
      </c>
      <c r="K80" s="384">
        <f>SUMIF('9.Non-elective admissions - Map'!$C$5:$C$870,'10.Non-elective admissions -HWB'!$D80,'9.Non-elective admissions - Map'!O$5:O$870)</f>
        <v>7104.4618914431803</v>
      </c>
      <c r="L80" s="384">
        <f>SUMIF('9.Non-elective admissions - Map'!$C$5:$C$870,'10.Non-elective admissions -HWB'!$D80,'9.Non-elective admissions - Map'!P$5:P$870)</f>
        <v>7121.2261748882102</v>
      </c>
      <c r="M80" s="384">
        <f>SUMIF('9.Non-elective admissions - Map'!$C$5:$C$870,'10.Non-elective admissions -HWB'!$D80,'9.Non-elective admissions - Map'!Q$5:Q$870)</f>
        <v>6161.9156535712909</v>
      </c>
      <c r="N80" s="384">
        <f>SUMIF('9.Non-elective admissions - Map'!$C$5:$C$870,'10.Non-elective admissions -HWB'!$D80,'9.Non-elective admissions - Map'!R$5:R$870)</f>
        <v>6285.6042921760181</v>
      </c>
      <c r="O80" s="384">
        <f>SUMIF('9.Non-elective admissions - Map'!$C$5:$C$870,'10.Non-elective admissions -HWB'!$D80,'9.Non-elective admissions - Map'!S$5:S$870)</f>
        <v>6230.5390978180285</v>
      </c>
      <c r="P80" s="384">
        <f>SUMIF('9.Non-elective admissions - Map'!$C$5:$C$870,'10.Non-elective admissions -HWB'!$D80,'9.Non-elective admissions - Map'!T$5:T$870)</f>
        <v>6343.7162630960211</v>
      </c>
      <c r="Q80" s="384">
        <f>SUMIF('9.Non-elective admissions - Map'!$C$5:$C$870,'10.Non-elective admissions -HWB'!$D80,'9.Non-elective admissions - Map'!U$5:U$870)</f>
        <v>5728.8998814374218</v>
      </c>
    </row>
    <row r="81" spans="1:17">
      <c r="A81" s="380" t="s">
        <v>1205</v>
      </c>
      <c r="B81" s="381" t="s">
        <v>905</v>
      </c>
      <c r="C81" s="381" t="s">
        <v>906</v>
      </c>
      <c r="D81" s="381" t="s">
        <v>739</v>
      </c>
      <c r="E81" s="382" t="s">
        <v>333</v>
      </c>
      <c r="F81" s="384">
        <f>SUMIF('9.Non-elective admissions - Map'!$C$5:$C$870,'10.Non-elective admissions -HWB'!$D81,'9.Non-elective admissions - Map'!J$5:J$870)</f>
        <v>15712.377752157114</v>
      </c>
      <c r="G81" s="384">
        <f>SUMIF('9.Non-elective admissions - Map'!$C$5:$C$870,'10.Non-elective admissions -HWB'!$D81,'9.Non-elective admissions - Map'!K$5:K$870)</f>
        <v>16207.028944511372</v>
      </c>
      <c r="H81" s="384">
        <f>SUMIF('9.Non-elective admissions - Map'!$C$5:$C$870,'10.Non-elective admissions -HWB'!$D81,'9.Non-elective admissions - Map'!L$5:L$870)</f>
        <v>17270.868971441581</v>
      </c>
      <c r="I81" s="384">
        <f>SUMIF('9.Non-elective admissions - Map'!$C$5:$C$870,'10.Non-elective admissions -HWB'!$D81,'9.Non-elective admissions - Map'!M$5:M$870)</f>
        <v>17240.323878675419</v>
      </c>
      <c r="J81" s="384">
        <f>SUMIF('9.Non-elective admissions - Map'!$C$5:$C$870,'10.Non-elective admissions -HWB'!$D81,'9.Non-elective admissions - Map'!N$5:N$870)</f>
        <v>15221.708427100724</v>
      </c>
      <c r="K81" s="384">
        <f>SUMIF('9.Non-elective admissions - Map'!$C$5:$C$870,'10.Non-elective admissions -HWB'!$D81,'9.Non-elective admissions - Map'!O$5:O$870)</f>
        <v>15704.609847530261</v>
      </c>
      <c r="L81" s="384">
        <f>SUMIF('9.Non-elective admissions - Map'!$C$5:$C$870,'10.Non-elective admissions -HWB'!$D81,'9.Non-elective admissions - Map'!P$5:P$870)</f>
        <v>16405.176609975704</v>
      </c>
      <c r="M81" s="384">
        <f>SUMIF('9.Non-elective admissions - Map'!$C$5:$C$870,'10.Non-elective admissions -HWB'!$D81,'9.Non-elective admissions - Map'!Q$5:Q$870)</f>
        <v>15783.840763589842</v>
      </c>
      <c r="N81" s="384">
        <f>SUMIF('9.Non-elective admissions - Map'!$C$5:$C$870,'10.Non-elective admissions -HWB'!$D81,'9.Non-elective admissions - Map'!R$5:R$870)</f>
        <v>15407.636375247837</v>
      </c>
      <c r="O81" s="384">
        <f>SUMIF('9.Non-elective admissions - Map'!$C$5:$C$870,'10.Non-elective admissions -HWB'!$D81,'9.Non-elective admissions - Map'!S$5:S$870)</f>
        <v>15920.245453802117</v>
      </c>
      <c r="P81" s="384">
        <f>SUMIF('9.Non-elective admissions - Map'!$C$5:$C$870,'10.Non-elective admissions -HWB'!$D81,'9.Non-elective admissions - Map'!T$5:T$870)</f>
        <v>16627.702220982253</v>
      </c>
      <c r="Q81" s="384">
        <f>SUMIF('9.Non-elective admissions - Map'!$C$5:$C$870,'10.Non-elective admissions -HWB'!$D81,'9.Non-elective admissions - Map'!U$5:U$870)</f>
        <v>16020.24671692869</v>
      </c>
    </row>
    <row r="82" spans="1:17">
      <c r="A82" s="380" t="s">
        <v>1205</v>
      </c>
      <c r="B82" s="381" t="s">
        <v>952</v>
      </c>
      <c r="C82" s="381" t="s">
        <v>953</v>
      </c>
      <c r="D82" s="381" t="s">
        <v>720</v>
      </c>
      <c r="E82" s="382" t="s">
        <v>276</v>
      </c>
      <c r="F82" s="384">
        <f>SUMIF('9.Non-elective admissions - Map'!$C$5:$C$870,'10.Non-elective admissions -HWB'!$D82,'9.Non-elective admissions - Map'!J$5:J$870)</f>
        <v>7194.4805765276096</v>
      </c>
      <c r="G82" s="384">
        <f>SUMIF('9.Non-elective admissions - Map'!$C$5:$C$870,'10.Non-elective admissions -HWB'!$D82,'9.Non-elective admissions - Map'!K$5:K$870)</f>
        <v>7126.1886834141123</v>
      </c>
      <c r="H82" s="384">
        <f>SUMIF('9.Non-elective admissions - Map'!$C$5:$C$870,'10.Non-elective admissions -HWB'!$D82,'9.Non-elective admissions - Map'!L$5:L$870)</f>
        <v>7557.3276109746712</v>
      </c>
      <c r="I82" s="384">
        <f>SUMIF('9.Non-elective admissions - Map'!$C$5:$C$870,'10.Non-elective admissions -HWB'!$D82,'9.Non-elective admissions - Map'!M$5:M$870)</f>
        <v>8276.4607079068955</v>
      </c>
      <c r="J82" s="384">
        <f>SUMIF('9.Non-elective admissions - Map'!$C$5:$C$870,'10.Non-elective admissions -HWB'!$D82,'9.Non-elective admissions - Map'!N$5:N$870)</f>
        <v>6629.3461144412522</v>
      </c>
      <c r="K82" s="384">
        <f>SUMIF('9.Non-elective admissions - Map'!$C$5:$C$870,'10.Non-elective admissions -HWB'!$D82,'9.Non-elective admissions - Map'!O$5:O$870)</f>
        <v>7050.3076498427881</v>
      </c>
      <c r="L82" s="384">
        <f>SUMIF('9.Non-elective admissions - Map'!$C$5:$C$870,'10.Non-elective admissions -HWB'!$D82,'9.Non-elective admissions - Map'!P$5:P$870)</f>
        <v>6975.9316246623948</v>
      </c>
      <c r="M82" s="384">
        <f>SUMIF('9.Non-elective admissions - Map'!$C$5:$C$870,'10.Non-elective admissions -HWB'!$D82,'9.Non-elective admissions - Map'!Q$5:Q$870)</f>
        <v>6857.4695999552951</v>
      </c>
      <c r="N82" s="384">
        <f>SUMIF('9.Non-elective admissions - Map'!$C$5:$C$870,'10.Non-elective admissions -HWB'!$D82,'9.Non-elective admissions - Map'!R$5:R$870)</f>
        <v>6330.2877000751305</v>
      </c>
      <c r="O82" s="384">
        <f>SUMIF('9.Non-elective admissions - Map'!$C$5:$C$870,'10.Non-elective admissions -HWB'!$D82,'9.Non-elective admissions - Map'!S$5:S$870)</f>
        <v>6732.195425488926</v>
      </c>
      <c r="P82" s="384">
        <f>SUMIF('9.Non-elective admissions - Map'!$C$5:$C$870,'10.Non-elective admissions -HWB'!$D82,'9.Non-elective admissions - Map'!T$5:T$870)</f>
        <v>6659.7484399062714</v>
      </c>
      <c r="Q82" s="384">
        <f>SUMIF('9.Non-elective admissions - Map'!$C$5:$C$870,'10.Non-elective admissions -HWB'!$D82,'9.Non-elective admissions - Map'!U$5:U$870)</f>
        <v>6648.9906871141657</v>
      </c>
    </row>
    <row r="83" spans="1:17">
      <c r="A83" s="380" t="s">
        <v>1205</v>
      </c>
      <c r="B83" s="381" t="s">
        <v>952</v>
      </c>
      <c r="C83" s="381" t="s">
        <v>953</v>
      </c>
      <c r="D83" s="381" t="s">
        <v>721</v>
      </c>
      <c r="E83" s="382" t="s">
        <v>279</v>
      </c>
      <c r="F83" s="384">
        <f>SUMIF('9.Non-elective admissions - Map'!$C$5:$C$870,'10.Non-elective admissions -HWB'!$D83,'9.Non-elective admissions - Map'!J$5:J$870)</f>
        <v>13626.08972359266</v>
      </c>
      <c r="G83" s="384">
        <f>SUMIF('9.Non-elective admissions - Map'!$C$5:$C$870,'10.Non-elective admissions -HWB'!$D83,'9.Non-elective admissions - Map'!K$5:K$870)</f>
        <v>13597.295695696994</v>
      </c>
      <c r="H83" s="384">
        <f>SUMIF('9.Non-elective admissions - Map'!$C$5:$C$870,'10.Non-elective admissions -HWB'!$D83,'9.Non-elective admissions - Map'!L$5:L$870)</f>
        <v>14332.401597151334</v>
      </c>
      <c r="I83" s="384">
        <f>SUMIF('9.Non-elective admissions - Map'!$C$5:$C$870,'10.Non-elective admissions -HWB'!$D83,'9.Non-elective admissions - Map'!M$5:M$870)</f>
        <v>14866.396871043362</v>
      </c>
      <c r="J83" s="384">
        <f>SUMIF('9.Non-elective admissions - Map'!$C$5:$C$870,'10.Non-elective admissions -HWB'!$D83,'9.Non-elective admissions - Map'!N$5:N$870)</f>
        <v>12782.361285005329</v>
      </c>
      <c r="K83" s="384">
        <f>SUMIF('9.Non-elective admissions - Map'!$C$5:$C$870,'10.Non-elective admissions -HWB'!$D83,'9.Non-elective admissions - Map'!O$5:O$870)</f>
        <v>13531.122806593688</v>
      </c>
      <c r="L83" s="384">
        <f>SUMIF('9.Non-elective admissions - Map'!$C$5:$C$870,'10.Non-elective admissions -HWB'!$D83,'9.Non-elective admissions - Map'!P$5:P$870)</f>
        <v>13415.308029874024</v>
      </c>
      <c r="M83" s="384">
        <f>SUMIF('9.Non-elective admissions - Map'!$C$5:$C$870,'10.Non-elective admissions -HWB'!$D83,'9.Non-elective admissions - Map'!Q$5:Q$870)</f>
        <v>13187.557706952641</v>
      </c>
      <c r="N83" s="384">
        <f>SUMIF('9.Non-elective admissions - Map'!$C$5:$C$870,'10.Non-elective admissions -HWB'!$D83,'9.Non-elective admissions - Map'!R$5:R$870)</f>
        <v>12393.230559726735</v>
      </c>
      <c r="O83" s="384">
        <f>SUMIF('9.Non-elective admissions - Map'!$C$5:$C$870,'10.Non-elective admissions -HWB'!$D83,'9.Non-elective admissions - Map'!S$5:S$870)</f>
        <v>13119.601954093201</v>
      </c>
      <c r="P83" s="384">
        <f>SUMIF('9.Non-elective admissions - Map'!$C$5:$C$870,'10.Non-elective admissions -HWB'!$D83,'9.Non-elective admissions - Map'!T$5:T$870)</f>
        <v>13006.629652667649</v>
      </c>
      <c r="Q83" s="384">
        <f>SUMIF('9.Non-elective admissions - Map'!$C$5:$C$870,'10.Non-elective admissions -HWB'!$D83,'9.Non-elective admissions - Map'!U$5:U$870)</f>
        <v>12960.601475477859</v>
      </c>
    </row>
    <row r="84" spans="1:17">
      <c r="A84" s="380" t="s">
        <v>1205</v>
      </c>
      <c r="B84" s="381" t="s">
        <v>952</v>
      </c>
      <c r="C84" s="381" t="s">
        <v>953</v>
      </c>
      <c r="D84" s="381" t="s">
        <v>723</v>
      </c>
      <c r="E84" s="382" t="s">
        <v>285</v>
      </c>
      <c r="F84" s="384">
        <f>SUMIF('9.Non-elective admissions - Map'!$C$5:$C$870,'10.Non-elective admissions -HWB'!$D84,'9.Non-elective admissions - Map'!J$5:J$870)</f>
        <v>18610.081140034752</v>
      </c>
      <c r="G84" s="384">
        <f>SUMIF('9.Non-elective admissions - Map'!$C$5:$C$870,'10.Non-elective admissions -HWB'!$D84,'9.Non-elective admissions - Map'!K$5:K$870)</f>
        <v>18036.272328548115</v>
      </c>
      <c r="H84" s="384">
        <f>SUMIF('9.Non-elective admissions - Map'!$C$5:$C$870,'10.Non-elective admissions -HWB'!$D84,'9.Non-elective admissions - Map'!L$5:L$870)</f>
        <v>18639.645318577604</v>
      </c>
      <c r="I84" s="384">
        <f>SUMIF('9.Non-elective admissions - Map'!$C$5:$C$870,'10.Non-elective admissions -HWB'!$D84,'9.Non-elective admissions - Map'!M$5:M$870)</f>
        <v>18262.303795852611</v>
      </c>
      <c r="J84" s="384">
        <f>SUMIF('9.Non-elective admissions - Map'!$C$5:$C$870,'10.Non-elective admissions -HWB'!$D84,'9.Non-elective admissions - Map'!N$5:N$870)</f>
        <v>17796.084888689838</v>
      </c>
      <c r="K84" s="384">
        <f>SUMIF('9.Non-elective admissions - Map'!$C$5:$C$870,'10.Non-elective admissions -HWB'!$D84,'9.Non-elective admissions - Map'!O$5:O$870)</f>
        <v>17510.002604734713</v>
      </c>
      <c r="L84" s="384">
        <f>SUMIF('9.Non-elective admissions - Map'!$C$5:$C$870,'10.Non-elective admissions -HWB'!$D84,'9.Non-elective admissions - Map'!P$5:P$870)</f>
        <v>18265.911428937576</v>
      </c>
      <c r="M84" s="384">
        <f>SUMIF('9.Non-elective admissions - Map'!$C$5:$C$870,'10.Non-elective admissions -HWB'!$D84,'9.Non-elective admissions - Map'!Q$5:Q$870)</f>
        <v>17760.471874521572</v>
      </c>
      <c r="N84" s="384">
        <f>SUMIF('9.Non-elective admissions - Map'!$C$5:$C$870,'10.Non-elective admissions -HWB'!$D84,'9.Non-elective admissions - Map'!R$5:R$870)</f>
        <v>17075.966972138714</v>
      </c>
      <c r="O84" s="384">
        <f>SUMIF('9.Non-elective admissions - Map'!$C$5:$C$870,'10.Non-elective admissions -HWB'!$D84,'9.Non-elective admissions - Map'!S$5:S$870)</f>
        <v>16556.26024982502</v>
      </c>
      <c r="P84" s="384">
        <f>SUMIF('9.Non-elective admissions - Map'!$C$5:$C$870,'10.Non-elective admissions -HWB'!$D84,'9.Non-elective admissions - Map'!T$5:T$870)</f>
        <v>17138.752705235973</v>
      </c>
      <c r="Q84" s="384">
        <f>SUMIF('9.Non-elective admissions - Map'!$C$5:$C$870,'10.Non-elective admissions -HWB'!$D84,'9.Non-elective admissions - Map'!U$5:U$870)</f>
        <v>16807.271701122547</v>
      </c>
    </row>
    <row r="85" spans="1:17">
      <c r="A85" s="380" t="s">
        <v>1205</v>
      </c>
      <c r="B85" s="381" t="s">
        <v>952</v>
      </c>
      <c r="C85" s="381" t="s">
        <v>953</v>
      </c>
      <c r="D85" s="381" t="s">
        <v>754</v>
      </c>
      <c r="E85" s="382" t="s">
        <v>378</v>
      </c>
      <c r="F85" s="384">
        <f>SUMIF('9.Non-elective admissions - Map'!$C$5:$C$870,'10.Non-elective admissions -HWB'!$D85,'9.Non-elective admissions - Map'!J$5:J$870)</f>
        <v>756.38105850369072</v>
      </c>
      <c r="G85" s="384">
        <f>SUMIF('9.Non-elective admissions - Map'!$C$5:$C$870,'10.Non-elective admissions -HWB'!$D85,'9.Non-elective admissions - Map'!K$5:K$870)</f>
        <v>746.59198615896662</v>
      </c>
      <c r="H85" s="384">
        <f>SUMIF('9.Non-elective admissions - Map'!$C$5:$C$870,'10.Non-elective admissions -HWB'!$D85,'9.Non-elective admissions - Map'!L$5:L$870)</f>
        <v>792.66432232167244</v>
      </c>
      <c r="I85" s="384">
        <f>SUMIF('9.Non-elective admissions - Map'!$C$5:$C$870,'10.Non-elective admissions -HWB'!$D85,'9.Non-elective admissions - Map'!M$5:M$870)</f>
        <v>801.70530823628087</v>
      </c>
      <c r="J85" s="384">
        <f>SUMIF('9.Non-elective admissions - Map'!$C$5:$C$870,'10.Non-elective admissions -HWB'!$D85,'9.Non-elective admissions - Map'!N$5:N$870)</f>
        <v>696.60680055083833</v>
      </c>
      <c r="K85" s="384">
        <f>SUMIF('9.Non-elective admissions - Map'!$C$5:$C$870,'10.Non-elective admissions -HWB'!$D85,'9.Non-elective admissions - Map'!O$5:O$870)</f>
        <v>727.33255398881727</v>
      </c>
      <c r="L85" s="384">
        <f>SUMIF('9.Non-elective admissions - Map'!$C$5:$C$870,'10.Non-elective admissions -HWB'!$D85,'9.Non-elective admissions - Map'!P$5:P$870)</f>
        <v>728.0463764401494</v>
      </c>
      <c r="M85" s="384">
        <f>SUMIF('9.Non-elective admissions - Map'!$C$5:$C$870,'10.Non-elective admissions -HWB'!$D85,'9.Non-elective admissions - Map'!Q$5:Q$870)</f>
        <v>711.36325957331542</v>
      </c>
      <c r="N85" s="384">
        <f>SUMIF('9.Non-elective admissions - Map'!$C$5:$C$870,'10.Non-elective admissions -HWB'!$D85,'9.Non-elective admissions - Map'!R$5:R$870)</f>
        <v>697.43768471033047</v>
      </c>
      <c r="O85" s="384">
        <f>SUMIF('9.Non-elective admissions - Map'!$C$5:$C$870,'10.Non-elective admissions -HWB'!$D85,'9.Non-elective admissions - Map'!S$5:S$870)</f>
        <v>728.19804317218302</v>
      </c>
      <c r="P85" s="384">
        <f>SUMIF('9.Non-elective admissions - Map'!$C$5:$C$870,'10.Non-elective admissions -HWB'!$D85,'9.Non-elective admissions - Map'!T$5:T$870)</f>
        <v>728.83253175510072</v>
      </c>
      <c r="Q85" s="384">
        <f>SUMIF('9.Non-elective admissions - Map'!$C$5:$C$870,'10.Non-elective admissions -HWB'!$D85,'9.Non-elective admissions - Map'!U$5:U$870)</f>
        <v>720.78253784790968</v>
      </c>
    </row>
    <row r="86" spans="1:17">
      <c r="A86" s="380" t="s">
        <v>1205</v>
      </c>
      <c r="B86" s="381" t="s">
        <v>954</v>
      </c>
      <c r="C86" s="381" t="s">
        <v>955</v>
      </c>
      <c r="D86" s="381" t="s">
        <v>759</v>
      </c>
      <c r="E86" s="382" t="s">
        <v>393</v>
      </c>
      <c r="F86" s="384">
        <f>SUMIF('9.Non-elective admissions - Map'!$C$5:$C$870,'10.Non-elective admissions -HWB'!$D86,'9.Non-elective admissions - Map'!J$5:J$870)</f>
        <v>6824.4310808012815</v>
      </c>
      <c r="G86" s="384">
        <f>SUMIF('9.Non-elective admissions - Map'!$C$5:$C$870,'10.Non-elective admissions -HWB'!$D86,'9.Non-elective admissions - Map'!K$5:K$870)</f>
        <v>6668.4261520244509</v>
      </c>
      <c r="H86" s="384">
        <f>SUMIF('9.Non-elective admissions - Map'!$C$5:$C$870,'10.Non-elective admissions -HWB'!$D86,'9.Non-elective admissions - Map'!L$5:L$870)</f>
        <v>7407.9929784063643</v>
      </c>
      <c r="I86" s="384">
        <f>SUMIF('9.Non-elective admissions - Map'!$C$5:$C$870,'10.Non-elective admissions -HWB'!$D86,'9.Non-elective admissions - Map'!M$5:M$870)</f>
        <v>7250.3163902983852</v>
      </c>
      <c r="J86" s="384">
        <f>SUMIF('9.Non-elective admissions - Map'!$C$5:$C$870,'10.Non-elective admissions -HWB'!$D86,'9.Non-elective admissions - Map'!N$5:N$870)</f>
        <v>7258.4083972319922</v>
      </c>
      <c r="K86" s="384">
        <f>SUMIF('9.Non-elective admissions - Map'!$C$5:$C$870,'10.Non-elective admissions -HWB'!$D86,'9.Non-elective admissions - Map'!O$5:O$870)</f>
        <v>6965.0130554175648</v>
      </c>
      <c r="L86" s="384">
        <f>SUMIF('9.Non-elective admissions - Map'!$C$5:$C$870,'10.Non-elective admissions -HWB'!$D86,'9.Non-elective admissions - Map'!P$5:P$870)</f>
        <v>7415.6660362765442</v>
      </c>
      <c r="M86" s="384">
        <f>SUMIF('9.Non-elective admissions - Map'!$C$5:$C$870,'10.Non-elective admissions -HWB'!$D86,'9.Non-elective admissions - Map'!Q$5:Q$870)</f>
        <v>6985.8437193052914</v>
      </c>
      <c r="N86" s="384">
        <f>SUMIF('9.Non-elective admissions - Map'!$C$5:$C$870,'10.Non-elective admissions -HWB'!$D86,'9.Non-elective admissions - Map'!R$5:R$870)</f>
        <v>7241.0246088675576</v>
      </c>
      <c r="O86" s="384">
        <f>SUMIF('9.Non-elective admissions - Map'!$C$5:$C$870,'10.Non-elective admissions -HWB'!$D86,'9.Non-elective admissions - Map'!S$5:S$870)</f>
        <v>6945.6394006228593</v>
      </c>
      <c r="P86" s="384">
        <f>SUMIF('9.Non-elective admissions - Map'!$C$5:$C$870,'10.Non-elective admissions -HWB'!$D86,'9.Non-elective admissions - Map'!T$5:T$870)</f>
        <v>7397.7734295966011</v>
      </c>
      <c r="Q86" s="384">
        <f>SUMIF('9.Non-elective admissions - Map'!$C$5:$C$870,'10.Non-elective admissions -HWB'!$D86,'9.Non-elective admissions - Map'!U$5:U$870)</f>
        <v>6965.9244695795915</v>
      </c>
    </row>
    <row r="87" spans="1:17">
      <c r="A87" s="380" t="s">
        <v>1205</v>
      </c>
      <c r="B87" s="381" t="s">
        <v>954</v>
      </c>
      <c r="C87" s="381" t="s">
        <v>955</v>
      </c>
      <c r="D87" s="381" t="s">
        <v>769</v>
      </c>
      <c r="E87" s="382" t="s">
        <v>423</v>
      </c>
      <c r="F87" s="384">
        <f>SUMIF('9.Non-elective admissions - Map'!$C$5:$C$870,'10.Non-elective admissions -HWB'!$D87,'9.Non-elective admissions - Map'!J$5:J$870)</f>
        <v>21855.188734307259</v>
      </c>
      <c r="G87" s="384">
        <f>SUMIF('9.Non-elective admissions - Map'!$C$5:$C$870,'10.Non-elective admissions -HWB'!$D87,'9.Non-elective admissions - Map'!K$5:K$870)</f>
        <v>21515.212065240539</v>
      </c>
      <c r="H87" s="384">
        <f>SUMIF('9.Non-elective admissions - Map'!$C$5:$C$870,'10.Non-elective admissions -HWB'!$D87,'9.Non-elective admissions - Map'!L$5:L$870)</f>
        <v>23051.521200655439</v>
      </c>
      <c r="I87" s="384">
        <f>SUMIF('9.Non-elective admissions - Map'!$C$5:$C$870,'10.Non-elective admissions -HWB'!$D87,'9.Non-elective admissions - Map'!M$5:M$870)</f>
        <v>23083.510634603255</v>
      </c>
      <c r="J87" s="384">
        <f>SUMIF('9.Non-elective admissions - Map'!$C$5:$C$870,'10.Non-elective admissions -HWB'!$D87,'9.Non-elective admissions - Map'!N$5:N$870)</f>
        <v>21587.526671637544</v>
      </c>
      <c r="K87" s="384">
        <f>SUMIF('9.Non-elective admissions - Map'!$C$5:$C$870,'10.Non-elective admissions -HWB'!$D87,'9.Non-elective admissions - Map'!O$5:O$870)</f>
        <v>21547.213119898031</v>
      </c>
      <c r="L87" s="384">
        <f>SUMIF('9.Non-elective admissions - Map'!$C$5:$C$870,'10.Non-elective admissions -HWB'!$D87,'9.Non-elective admissions - Map'!P$5:P$870)</f>
        <v>21658.586876986014</v>
      </c>
      <c r="M87" s="384">
        <f>SUMIF('9.Non-elective admissions - Map'!$C$5:$C$870,'10.Non-elective admissions -HWB'!$D87,'9.Non-elective admissions - Map'!Q$5:Q$870)</f>
        <v>21630.31517411906</v>
      </c>
      <c r="N87" s="384">
        <f>SUMIF('9.Non-elective admissions - Map'!$C$5:$C$870,'10.Non-elective admissions -HWB'!$D87,'9.Non-elective admissions - Map'!R$5:R$870)</f>
        <v>20418.236163635371</v>
      </c>
      <c r="O87" s="384">
        <f>SUMIF('9.Non-elective admissions - Map'!$C$5:$C$870,'10.Non-elective admissions -HWB'!$D87,'9.Non-elective admissions - Map'!S$5:S$870)</f>
        <v>20578.675815856339</v>
      </c>
      <c r="P87" s="384">
        <f>SUMIF('9.Non-elective admissions - Map'!$C$5:$C$870,'10.Non-elective admissions -HWB'!$D87,'9.Non-elective admissions - Map'!T$5:T$870)</f>
        <v>20981.147896029899</v>
      </c>
      <c r="Q87" s="384">
        <f>SUMIF('9.Non-elective admissions - Map'!$C$5:$C$870,'10.Non-elective admissions -HWB'!$D87,'9.Non-elective admissions - Map'!U$5:U$870)</f>
        <v>20955.21980780661</v>
      </c>
    </row>
    <row r="88" spans="1:17">
      <c r="A88" s="380" t="s">
        <v>1205</v>
      </c>
      <c r="B88" s="381" t="s">
        <v>954</v>
      </c>
      <c r="C88" s="381" t="s">
        <v>955</v>
      </c>
      <c r="D88" s="381" t="s">
        <v>772</v>
      </c>
      <c r="E88" s="382" t="s">
        <v>432</v>
      </c>
      <c r="F88" s="384">
        <f>SUMIF('9.Non-elective admissions - Map'!$C$5:$C$870,'10.Non-elective admissions -HWB'!$D88,'9.Non-elective admissions - Map'!J$5:J$870)</f>
        <v>7554.6200294589671</v>
      </c>
      <c r="G88" s="384">
        <f>SUMIF('9.Non-elective admissions - Map'!$C$5:$C$870,'10.Non-elective admissions -HWB'!$D88,'9.Non-elective admissions - Map'!K$5:K$870)</f>
        <v>7473.7767656260576</v>
      </c>
      <c r="H88" s="384">
        <f>SUMIF('9.Non-elective admissions - Map'!$C$5:$C$870,'10.Non-elective admissions -HWB'!$D88,'9.Non-elective admissions - Map'!L$5:L$870)</f>
        <v>8361.4612905678368</v>
      </c>
      <c r="I88" s="384">
        <f>SUMIF('9.Non-elective admissions - Map'!$C$5:$C$870,'10.Non-elective admissions -HWB'!$D88,'9.Non-elective admissions - Map'!M$5:M$870)</f>
        <v>8305.8323151303266</v>
      </c>
      <c r="J88" s="384">
        <f>SUMIF('9.Non-elective admissions - Map'!$C$5:$C$870,'10.Non-elective admissions -HWB'!$D88,'9.Non-elective admissions - Map'!N$5:N$870)</f>
        <v>6771.3421249284711</v>
      </c>
      <c r="K88" s="384">
        <f>SUMIF('9.Non-elective admissions - Map'!$C$5:$C$870,'10.Non-elective admissions -HWB'!$D88,'9.Non-elective admissions - Map'!O$5:O$870)</f>
        <v>6919.3332642104133</v>
      </c>
      <c r="L88" s="384">
        <f>SUMIF('9.Non-elective admissions - Map'!$C$5:$C$870,'10.Non-elective admissions -HWB'!$D88,'9.Non-elective admissions - Map'!P$5:P$870)</f>
        <v>6954.0341841196177</v>
      </c>
      <c r="M88" s="384">
        <f>SUMIF('9.Non-elective admissions - Map'!$C$5:$C$870,'10.Non-elective admissions -HWB'!$D88,'9.Non-elective admissions - Map'!Q$5:Q$870)</f>
        <v>7125.7910321431345</v>
      </c>
      <c r="N88" s="384">
        <f>SUMIF('9.Non-elective admissions - Map'!$C$5:$C$870,'10.Non-elective admissions -HWB'!$D88,'9.Non-elective admissions - Map'!R$5:R$870)</f>
        <v>6362.1963248726042</v>
      </c>
      <c r="O88" s="384">
        <f>SUMIF('9.Non-elective admissions - Map'!$C$5:$C$870,'10.Non-elective admissions -HWB'!$D88,'9.Non-elective admissions - Map'!S$5:S$870)</f>
        <v>6508.7601066194875</v>
      </c>
      <c r="P88" s="384">
        <f>SUMIF('9.Non-elective admissions - Map'!$C$5:$C$870,'10.Non-elective admissions -HWB'!$D88,'9.Non-elective admissions - Map'!T$5:T$870)</f>
        <v>6542.3645432813473</v>
      </c>
      <c r="Q88" s="384">
        <f>SUMIF('9.Non-elective admissions - Map'!$C$5:$C$870,'10.Non-elective admissions -HWB'!$D88,'9.Non-elective admissions - Map'!U$5:U$870)</f>
        <v>6699.251845532649</v>
      </c>
    </row>
    <row r="89" spans="1:17">
      <c r="A89" s="380" t="s">
        <v>1205</v>
      </c>
      <c r="B89" s="381" t="s">
        <v>954</v>
      </c>
      <c r="C89" s="381" t="s">
        <v>955</v>
      </c>
      <c r="D89" s="381" t="s">
        <v>779</v>
      </c>
      <c r="E89" s="382" t="s">
        <v>453</v>
      </c>
      <c r="F89" s="384">
        <f>SUMIF('9.Non-elective admissions - Map'!$C$5:$C$870,'10.Non-elective admissions -HWB'!$D89,'9.Non-elective admissions - Map'!J$5:J$870)</f>
        <v>4098.6732411749244</v>
      </c>
      <c r="G89" s="384">
        <f>SUMIF('9.Non-elective admissions - Map'!$C$5:$C$870,'10.Non-elective admissions -HWB'!$D89,'9.Non-elective admissions - Map'!K$5:K$870)</f>
        <v>4045.5230793061073</v>
      </c>
      <c r="H89" s="384">
        <f>SUMIF('9.Non-elective admissions - Map'!$C$5:$C$870,'10.Non-elective admissions -HWB'!$D89,'9.Non-elective admissions - Map'!L$5:L$870)</f>
        <v>4478.3223158149531</v>
      </c>
      <c r="I89" s="384">
        <f>SUMIF('9.Non-elective admissions - Map'!$C$5:$C$870,'10.Non-elective admissions -HWB'!$D89,'9.Non-elective admissions - Map'!M$5:M$870)</f>
        <v>4386.6000149532483</v>
      </c>
      <c r="J89" s="384">
        <f>SUMIF('9.Non-elective admissions - Map'!$C$5:$C$870,'10.Non-elective admissions -HWB'!$D89,'9.Non-elective admissions - Map'!N$5:N$870)</f>
        <v>3790.6892031138941</v>
      </c>
      <c r="K89" s="384">
        <f>SUMIF('9.Non-elective admissions - Map'!$C$5:$C$870,'10.Non-elective admissions -HWB'!$D89,'9.Non-elective admissions - Map'!O$5:O$870)</f>
        <v>3837.462283035944</v>
      </c>
      <c r="L89" s="384">
        <f>SUMIF('9.Non-elective admissions - Map'!$C$5:$C$870,'10.Non-elective admissions -HWB'!$D89,'9.Non-elective admissions - Map'!P$5:P$870)</f>
        <v>4079.4614609097362</v>
      </c>
      <c r="M89" s="384">
        <f>SUMIF('9.Non-elective admissions - Map'!$C$5:$C$870,'10.Non-elective admissions -HWB'!$D89,'9.Non-elective admissions - Map'!Q$5:Q$870)</f>
        <v>4159.5198822979728</v>
      </c>
      <c r="N89" s="384">
        <f>SUMIF('9.Non-elective admissions - Map'!$C$5:$C$870,'10.Non-elective admissions -HWB'!$D89,'9.Non-elective admissions - Map'!R$5:R$870)</f>
        <v>3277.5604146183873</v>
      </c>
      <c r="O89" s="384">
        <f>SUMIF('9.Non-elective admissions - Map'!$C$5:$C$870,'10.Non-elective admissions -HWB'!$D89,'9.Non-elective admissions - Map'!S$5:S$870)</f>
        <v>3319.5007593261093</v>
      </c>
      <c r="P89" s="384">
        <f>SUMIF('9.Non-elective admissions - Map'!$C$5:$C$870,'10.Non-elective admissions -HWB'!$D89,'9.Non-elective admissions - Map'!T$5:T$870)</f>
        <v>3526.7042436567435</v>
      </c>
      <c r="Q89" s="384">
        <f>SUMIF('9.Non-elective admissions - Map'!$C$5:$C$870,'10.Non-elective admissions -HWB'!$D89,'9.Non-elective admissions - Map'!U$5:U$870)</f>
        <v>3590.313416771919</v>
      </c>
    </row>
    <row r="90" spans="1:17">
      <c r="A90" s="380" t="s">
        <v>1201</v>
      </c>
      <c r="B90" s="381" t="s">
        <v>1202</v>
      </c>
      <c r="C90" s="381" t="s">
        <v>1201</v>
      </c>
      <c r="D90" s="381" t="s">
        <v>650</v>
      </c>
      <c r="E90" s="382" t="s">
        <v>9</v>
      </c>
      <c r="F90" s="384">
        <f>SUMIF('9.Non-elective admissions - Map'!$C$5:$C$870,'10.Non-elective admissions -HWB'!$D90,'9.Non-elective admissions - Map'!J$5:J$870)</f>
        <v>5212.3497973071189</v>
      </c>
      <c r="G90" s="384">
        <f>SUMIF('9.Non-elective admissions - Map'!$C$5:$C$870,'10.Non-elective admissions -HWB'!$D90,'9.Non-elective admissions - Map'!K$5:K$870)</f>
        <v>4956.7346662174341</v>
      </c>
      <c r="H90" s="384">
        <f>SUMIF('9.Non-elective admissions - Map'!$C$5:$C$870,'10.Non-elective admissions -HWB'!$D90,'9.Non-elective admissions - Map'!L$5:L$870)</f>
        <v>4986.1575618438865</v>
      </c>
      <c r="I90" s="384">
        <f>SUMIF('9.Non-elective admissions - Map'!$C$5:$C$870,'10.Non-elective admissions -HWB'!$D90,'9.Non-elective admissions - Map'!M$5:M$870)</f>
        <v>5373.9460503386736</v>
      </c>
      <c r="J90" s="384">
        <f>SUMIF('9.Non-elective admissions - Map'!$C$5:$C$870,'10.Non-elective admissions -HWB'!$D90,'9.Non-elective admissions - Map'!N$5:N$870)</f>
        <v>5204.7898450536695</v>
      </c>
      <c r="K90" s="384">
        <f>SUMIF('9.Non-elective admissions - Map'!$C$5:$C$870,'10.Non-elective admissions -HWB'!$D90,'9.Non-elective admissions - Map'!O$5:O$870)</f>
        <v>4941.2777803571435</v>
      </c>
      <c r="L90" s="384">
        <f>SUMIF('9.Non-elective admissions - Map'!$C$5:$C$870,'10.Non-elective admissions -HWB'!$D90,'9.Non-elective admissions - Map'!P$5:P$870)</f>
        <v>4971.9913979464691</v>
      </c>
      <c r="M90" s="384">
        <f>SUMIF('9.Non-elective admissions - Map'!$C$5:$C$870,'10.Non-elective admissions -HWB'!$D90,'9.Non-elective admissions - Map'!Q$5:Q$870)</f>
        <v>5371.0479315536986</v>
      </c>
      <c r="N90" s="384">
        <f>SUMIF('9.Non-elective admissions - Map'!$C$5:$C$870,'10.Non-elective admissions -HWB'!$D90,'9.Non-elective admissions - Map'!R$5:R$870)</f>
        <v>5324.0623185021241</v>
      </c>
      <c r="O90" s="384">
        <f>SUMIF('9.Non-elective admissions - Map'!$C$5:$C$870,'10.Non-elective admissions -HWB'!$D90,'9.Non-elective admissions - Map'!S$5:S$870)</f>
        <v>5054.4557144087903</v>
      </c>
      <c r="P90" s="384">
        <f>SUMIF('9.Non-elective admissions - Map'!$C$5:$C$870,'10.Non-elective admissions -HWB'!$D90,'9.Non-elective admissions - Map'!T$5:T$870)</f>
        <v>5084.6996736619058</v>
      </c>
      <c r="Q90" s="384">
        <f>SUMIF('9.Non-elective admissions - Map'!$C$5:$C$870,'10.Non-elective admissions -HWB'!$D90,'9.Non-elective admissions - Map'!U$5:U$870)</f>
        <v>5505.9246854130743</v>
      </c>
    </row>
    <row r="91" spans="1:17">
      <c r="A91" s="380" t="s">
        <v>1201</v>
      </c>
      <c r="B91" s="381" t="s">
        <v>1202</v>
      </c>
      <c r="C91" s="381" t="s">
        <v>1201</v>
      </c>
      <c r="D91" s="381" t="s">
        <v>651</v>
      </c>
      <c r="E91" s="382" t="s">
        <v>16</v>
      </c>
      <c r="F91" s="384">
        <f>SUMIF('9.Non-elective admissions - Map'!$C$5:$C$870,'10.Non-elective admissions -HWB'!$D91,'9.Non-elective admissions - Map'!J$5:J$870)</f>
        <v>7201.8248434069719</v>
      </c>
      <c r="G91" s="384">
        <f>SUMIF('9.Non-elective admissions - Map'!$C$5:$C$870,'10.Non-elective admissions -HWB'!$D91,'9.Non-elective admissions - Map'!K$5:K$870)</f>
        <v>6804.5180818641356</v>
      </c>
      <c r="H91" s="384">
        <f>SUMIF('9.Non-elective admissions - Map'!$C$5:$C$870,'10.Non-elective admissions -HWB'!$D91,'9.Non-elective admissions - Map'!L$5:L$870)</f>
        <v>7322.3232934311854</v>
      </c>
      <c r="I91" s="384">
        <f>SUMIF('9.Non-elective admissions - Map'!$C$5:$C$870,'10.Non-elective admissions -HWB'!$D91,'9.Non-elective admissions - Map'!M$5:M$870)</f>
        <v>7458.4315121129239</v>
      </c>
      <c r="J91" s="384">
        <f>SUMIF('9.Non-elective admissions - Map'!$C$5:$C$870,'10.Non-elective admissions -HWB'!$D91,'9.Non-elective admissions - Map'!N$5:N$870)</f>
        <v>7940.4172930924624</v>
      </c>
      <c r="K91" s="384">
        <f>SUMIF('9.Non-elective admissions - Map'!$C$5:$C$870,'10.Non-elective admissions -HWB'!$D91,'9.Non-elective admissions - Map'!O$5:O$870)</f>
        <v>7688.9916782140799</v>
      </c>
      <c r="L91" s="384">
        <f>SUMIF('9.Non-elective admissions - Map'!$C$5:$C$870,'10.Non-elective admissions -HWB'!$D91,'9.Non-elective admissions - Map'!P$5:P$870)</f>
        <v>8424.0566564254532</v>
      </c>
      <c r="M91" s="384">
        <f>SUMIF('9.Non-elective admissions - Map'!$C$5:$C$870,'10.Non-elective admissions -HWB'!$D91,'9.Non-elective admissions - Map'!Q$5:Q$870)</f>
        <v>8556.8172917583597</v>
      </c>
      <c r="N91" s="384">
        <f>SUMIF('9.Non-elective admissions - Map'!$C$5:$C$870,'10.Non-elective admissions -HWB'!$D91,'9.Non-elective admissions - Map'!R$5:R$870)</f>
        <v>7127.8585976483091</v>
      </c>
      <c r="O91" s="384">
        <f>SUMIF('9.Non-elective admissions - Map'!$C$5:$C$870,'10.Non-elective admissions -HWB'!$D91,'9.Non-elective admissions - Map'!S$5:S$870)</f>
        <v>6846.3602799865839</v>
      </c>
      <c r="P91" s="384">
        <f>SUMIF('9.Non-elective admissions - Map'!$C$5:$C$870,'10.Non-elective admissions -HWB'!$D91,'9.Non-elective admissions - Map'!T$5:T$870)</f>
        <v>7669.1159127135761</v>
      </c>
      <c r="Q91" s="384">
        <f>SUMIF('9.Non-elective admissions - Map'!$C$5:$C$870,'10.Non-elective admissions -HWB'!$D91,'9.Non-elective admissions - Map'!U$5:U$870)</f>
        <v>7795.6826685731303</v>
      </c>
    </row>
    <row r="92" spans="1:17">
      <c r="A92" s="380" t="s">
        <v>1201</v>
      </c>
      <c r="B92" s="381" t="s">
        <v>1202</v>
      </c>
      <c r="C92" s="381" t="s">
        <v>1201</v>
      </c>
      <c r="D92" s="381" t="s">
        <v>671</v>
      </c>
      <c r="E92" s="382" t="s">
        <v>102</v>
      </c>
      <c r="F92" s="384">
        <f>SUMIF('9.Non-elective admissions - Map'!$C$5:$C$870,'10.Non-elective admissions -HWB'!$D92,'9.Non-elective admissions - Map'!J$5:J$870)</f>
        <v>4331.4474249497434</v>
      </c>
      <c r="G92" s="384">
        <f>SUMIF('9.Non-elective admissions - Map'!$C$5:$C$870,'10.Non-elective admissions -HWB'!$D92,'9.Non-elective admissions - Map'!K$5:K$870)</f>
        <v>4262.2110793302109</v>
      </c>
      <c r="H92" s="384">
        <f>SUMIF('9.Non-elective admissions - Map'!$C$5:$C$870,'10.Non-elective admissions -HWB'!$D92,'9.Non-elective admissions - Map'!L$5:L$870)</f>
        <v>4116.0105633716848</v>
      </c>
      <c r="I92" s="384">
        <f>SUMIF('9.Non-elective admissions - Map'!$C$5:$C$870,'10.Non-elective admissions -HWB'!$D92,'9.Non-elective admissions - Map'!M$5:M$870)</f>
        <v>4167.7390373070448</v>
      </c>
      <c r="J92" s="384">
        <f>SUMIF('9.Non-elective admissions - Map'!$C$5:$C$870,'10.Non-elective admissions -HWB'!$D92,'9.Non-elective admissions - Map'!N$5:N$870)</f>
        <v>4628.4461764740845</v>
      </c>
      <c r="K92" s="384">
        <f>SUMIF('9.Non-elective admissions - Map'!$C$5:$C$870,'10.Non-elective admissions -HWB'!$D92,'9.Non-elective admissions - Map'!O$5:O$870)</f>
        <v>4673.8105191259256</v>
      </c>
      <c r="L92" s="384">
        <f>SUMIF('9.Non-elective admissions - Map'!$C$5:$C$870,'10.Non-elective admissions -HWB'!$D92,'9.Non-elective admissions - Map'!P$5:P$870)</f>
        <v>4728.8363977973713</v>
      </c>
      <c r="M92" s="384">
        <f>SUMIF('9.Non-elective admissions - Map'!$C$5:$C$870,'10.Non-elective admissions -HWB'!$D92,'9.Non-elective admissions - Map'!Q$5:Q$870)</f>
        <v>4740.8194365608533</v>
      </c>
      <c r="N92" s="384">
        <f>SUMIF('9.Non-elective admissions - Map'!$C$5:$C$870,'10.Non-elective admissions -HWB'!$D92,'9.Non-elective admissions - Map'!R$5:R$870)</f>
        <v>4321.2563106942625</v>
      </c>
      <c r="O92" s="384">
        <f>SUMIF('9.Non-elective admissions - Map'!$C$5:$C$870,'10.Non-elective admissions -HWB'!$D92,'9.Non-elective admissions - Map'!S$5:S$870)</f>
        <v>4357.666383521937</v>
      </c>
      <c r="P92" s="384">
        <f>SUMIF('9.Non-elective admissions - Map'!$C$5:$C$870,'10.Non-elective admissions -HWB'!$D92,'9.Non-elective admissions - Map'!T$5:T$870)</f>
        <v>4433.3311167988859</v>
      </c>
      <c r="Q92" s="384">
        <f>SUMIF('9.Non-elective admissions - Map'!$C$5:$C$870,'10.Non-elective admissions -HWB'!$D92,'9.Non-elective admissions - Map'!U$5:U$870)</f>
        <v>4438.4752787332127</v>
      </c>
    </row>
    <row r="93" spans="1:17">
      <c r="A93" s="380" t="s">
        <v>1201</v>
      </c>
      <c r="B93" s="381" t="s">
        <v>1202</v>
      </c>
      <c r="C93" s="381" t="s">
        <v>1201</v>
      </c>
      <c r="D93" s="381" t="s">
        <v>675</v>
      </c>
      <c r="E93" s="382" t="s">
        <v>117</v>
      </c>
      <c r="F93" s="384">
        <f>SUMIF('9.Non-elective admissions - Map'!$C$5:$C$870,'10.Non-elective admissions -HWB'!$D93,'9.Non-elective admissions - Map'!J$5:J$870)</f>
        <v>146.82786237011305</v>
      </c>
      <c r="G93" s="384">
        <f>SUMIF('9.Non-elective admissions - Map'!$C$5:$C$870,'10.Non-elective admissions -HWB'!$D93,'9.Non-elective admissions - Map'!K$5:K$870)</f>
        <v>138.73807276751734</v>
      </c>
      <c r="H93" s="384">
        <f>SUMIF('9.Non-elective admissions - Map'!$C$5:$C$870,'10.Non-elective admissions -HWB'!$D93,'9.Non-elective admissions - Map'!L$5:L$870)</f>
        <v>140.23849862971531</v>
      </c>
      <c r="I93" s="384">
        <f>SUMIF('9.Non-elective admissions - Map'!$C$5:$C$870,'10.Non-elective admissions -HWB'!$D93,'9.Non-elective admissions - Map'!M$5:M$870)</f>
        <v>134.32387749377725</v>
      </c>
      <c r="J93" s="384">
        <f>SUMIF('9.Non-elective admissions - Map'!$C$5:$C$870,'10.Non-elective admissions -HWB'!$D93,'9.Non-elective admissions - Map'!N$5:N$870)</f>
        <v>167.64346272688698</v>
      </c>
      <c r="K93" s="384">
        <f>SUMIF('9.Non-elective admissions - Map'!$C$5:$C$870,'10.Non-elective admissions -HWB'!$D93,'9.Non-elective admissions - Map'!O$5:O$870)</f>
        <v>157.87972009303456</v>
      </c>
      <c r="L93" s="384">
        <f>SUMIF('9.Non-elective admissions - Map'!$C$5:$C$870,'10.Non-elective admissions -HWB'!$D93,'9.Non-elective admissions - Map'!P$5:P$870)</f>
        <v>165.88207563578183</v>
      </c>
      <c r="M93" s="384">
        <f>SUMIF('9.Non-elective admissions - Map'!$C$5:$C$870,'10.Non-elective admissions -HWB'!$D93,'9.Non-elective admissions - Map'!Q$5:Q$870)</f>
        <v>170.92480129967763</v>
      </c>
      <c r="N93" s="384">
        <f>SUMIF('9.Non-elective admissions - Map'!$C$5:$C$870,'10.Non-elective admissions -HWB'!$D93,'9.Non-elective admissions - Map'!R$5:R$870)</f>
        <v>172.35691605428954</v>
      </c>
      <c r="O93" s="384">
        <f>SUMIF('9.Non-elective admissions - Map'!$C$5:$C$870,'10.Non-elective admissions -HWB'!$D93,'9.Non-elective admissions - Map'!S$5:S$870)</f>
        <v>162.22004117502601</v>
      </c>
      <c r="P93" s="384">
        <f>SUMIF('9.Non-elective admissions - Map'!$C$5:$C$870,'10.Non-elective admissions -HWB'!$D93,'9.Non-elective admissions - Map'!T$5:T$870)</f>
        <v>170.53219847115594</v>
      </c>
      <c r="Q93" s="384">
        <f>SUMIF('9.Non-elective admissions - Map'!$C$5:$C$870,'10.Non-elective admissions -HWB'!$D93,'9.Non-elective admissions - Map'!U$5:U$870)</f>
        <v>175.73866763451977</v>
      </c>
    </row>
    <row r="94" spans="1:17">
      <c r="A94" s="380" t="s">
        <v>1201</v>
      </c>
      <c r="B94" s="381" t="s">
        <v>1202</v>
      </c>
      <c r="C94" s="381" t="s">
        <v>1201</v>
      </c>
      <c r="D94" s="381" t="s">
        <v>691</v>
      </c>
      <c r="E94" s="382" t="s">
        <v>176</v>
      </c>
      <c r="F94" s="384">
        <f>SUMIF('9.Non-elective admissions - Map'!$C$5:$C$870,'10.Non-elective admissions -HWB'!$D94,'9.Non-elective admissions - Map'!J$5:J$870)</f>
        <v>6233.9970681751165</v>
      </c>
      <c r="G94" s="384">
        <f>SUMIF('9.Non-elective admissions - Map'!$C$5:$C$870,'10.Non-elective admissions -HWB'!$D94,'9.Non-elective admissions - Map'!K$5:K$870)</f>
        <v>6001.5666482607803</v>
      </c>
      <c r="H94" s="384">
        <f>SUMIF('9.Non-elective admissions - Map'!$C$5:$C$870,'10.Non-elective admissions -HWB'!$D94,'9.Non-elective admissions - Map'!L$5:L$870)</f>
        <v>6472.5328560173193</v>
      </c>
      <c r="I94" s="384">
        <f>SUMIF('9.Non-elective admissions - Map'!$C$5:$C$870,'10.Non-elective admissions -HWB'!$D94,'9.Non-elective admissions - Map'!M$5:M$870)</f>
        <v>7242.3374738686007</v>
      </c>
      <c r="J94" s="384">
        <f>SUMIF('9.Non-elective admissions - Map'!$C$5:$C$870,'10.Non-elective admissions -HWB'!$D94,'9.Non-elective admissions - Map'!N$5:N$870)</f>
        <v>9333.7177815074901</v>
      </c>
      <c r="K94" s="384">
        <f>SUMIF('9.Non-elective admissions - Map'!$C$5:$C$870,'10.Non-elective admissions -HWB'!$D94,'9.Non-elective admissions - Map'!O$5:O$870)</f>
        <v>9307.8335720340419</v>
      </c>
      <c r="L94" s="384">
        <f>SUMIF('9.Non-elective admissions - Map'!$C$5:$C$870,'10.Non-elective admissions -HWB'!$D94,'9.Non-elective admissions - Map'!P$5:P$870)</f>
        <v>9254.5243888558707</v>
      </c>
      <c r="M94" s="384">
        <f>SUMIF('9.Non-elective admissions - Map'!$C$5:$C$870,'10.Non-elective admissions -HWB'!$D94,'9.Non-elective admissions - Map'!Q$5:Q$870)</f>
        <v>8854.3312010025838</v>
      </c>
      <c r="N94" s="384">
        <f>SUMIF('9.Non-elective admissions - Map'!$C$5:$C$870,'10.Non-elective admissions -HWB'!$D94,'9.Non-elective admissions - Map'!R$5:R$870)</f>
        <v>6315.8282258972868</v>
      </c>
      <c r="O94" s="384">
        <f>SUMIF('9.Non-elective admissions - Map'!$C$5:$C$870,'10.Non-elective admissions -HWB'!$D94,'9.Non-elective admissions - Map'!S$5:S$870)</f>
        <v>6193.9484171969525</v>
      </c>
      <c r="P94" s="384">
        <f>SUMIF('9.Non-elective admissions - Map'!$C$5:$C$870,'10.Non-elective admissions -HWB'!$D94,'9.Non-elective admissions - Map'!T$5:T$870)</f>
        <v>6420.427972751354</v>
      </c>
      <c r="Q94" s="384">
        <f>SUMIF('9.Non-elective admissions - Map'!$C$5:$C$870,'10.Non-elective admissions -HWB'!$D94,'9.Non-elective admissions - Map'!U$5:U$870)</f>
        <v>5994.756058267134</v>
      </c>
    </row>
    <row r="95" spans="1:17">
      <c r="A95" s="380" t="s">
        <v>1201</v>
      </c>
      <c r="B95" s="381" t="s">
        <v>1202</v>
      </c>
      <c r="C95" s="381" t="s">
        <v>1201</v>
      </c>
      <c r="D95" s="381" t="s">
        <v>696</v>
      </c>
      <c r="E95" s="382" t="s">
        <v>195</v>
      </c>
      <c r="F95" s="384">
        <f>SUMIF('9.Non-elective admissions - Map'!$C$5:$C$870,'10.Non-elective admissions -HWB'!$D95,'9.Non-elective admissions - Map'!J$5:J$870)</f>
        <v>5739.8850535111842</v>
      </c>
      <c r="G95" s="384">
        <f>SUMIF('9.Non-elective admissions - Map'!$C$5:$C$870,'10.Non-elective admissions -HWB'!$D95,'9.Non-elective admissions - Map'!K$5:K$870)</f>
        <v>5446.5251678386976</v>
      </c>
      <c r="H95" s="384">
        <f>SUMIF('9.Non-elective admissions - Map'!$C$5:$C$870,'10.Non-elective admissions -HWB'!$D95,'9.Non-elective admissions - Map'!L$5:L$870)</f>
        <v>5466.2592808724912</v>
      </c>
      <c r="I95" s="384">
        <f>SUMIF('9.Non-elective admissions - Map'!$C$5:$C$870,'10.Non-elective admissions -HWB'!$D95,'9.Non-elective admissions - Map'!M$5:M$870)</f>
        <v>5252.3801560044121</v>
      </c>
      <c r="J95" s="384">
        <f>SUMIF('9.Non-elective admissions - Map'!$C$5:$C$870,'10.Non-elective admissions -HWB'!$D95,'9.Non-elective admissions - Map'!N$5:N$870)</f>
        <v>7013.7640479437205</v>
      </c>
      <c r="K95" s="384">
        <f>SUMIF('9.Non-elective admissions - Map'!$C$5:$C$870,'10.Non-elective admissions -HWB'!$D95,'9.Non-elective admissions - Map'!O$5:O$870)</f>
        <v>6654.3994319062213</v>
      </c>
      <c r="L95" s="384">
        <f>SUMIF('9.Non-elective admissions - Map'!$C$5:$C$870,'10.Non-elective admissions -HWB'!$D95,'9.Non-elective admissions - Map'!P$5:P$870)</f>
        <v>6949.307373033359</v>
      </c>
      <c r="M95" s="384">
        <f>SUMIF('9.Non-elective admissions - Map'!$C$5:$C$870,'10.Non-elective admissions -HWB'!$D95,'9.Non-elective admissions - Map'!Q$5:Q$870)</f>
        <v>7279.0980709609557</v>
      </c>
      <c r="N95" s="384">
        <f>SUMIF('9.Non-elective admissions - Map'!$C$5:$C$870,'10.Non-elective admissions -HWB'!$D95,'9.Non-elective admissions - Map'!R$5:R$870)</f>
        <v>6963.2010186890011</v>
      </c>
      <c r="O95" s="384">
        <f>SUMIF('9.Non-elective admissions - Map'!$C$5:$C$870,'10.Non-elective admissions -HWB'!$D95,'9.Non-elective admissions - Map'!S$5:S$870)</f>
        <v>6580.4429494395472</v>
      </c>
      <c r="P95" s="384">
        <f>SUMIF('9.Non-elective admissions - Map'!$C$5:$C$870,'10.Non-elective admissions -HWB'!$D95,'9.Non-elective admissions - Map'!T$5:T$870)</f>
        <v>6912.9172754044066</v>
      </c>
      <c r="Q95" s="384">
        <f>SUMIF('9.Non-elective admissions - Map'!$C$5:$C$870,'10.Non-elective admissions -HWB'!$D95,'9.Non-elective admissions - Map'!U$5:U$870)</f>
        <v>7250.3611354402537</v>
      </c>
    </row>
    <row r="96" spans="1:17">
      <c r="A96" s="380" t="s">
        <v>1201</v>
      </c>
      <c r="B96" s="381" t="s">
        <v>1202</v>
      </c>
      <c r="C96" s="381" t="s">
        <v>1201</v>
      </c>
      <c r="D96" s="381" t="s">
        <v>700</v>
      </c>
      <c r="E96" s="382" t="s">
        <v>209</v>
      </c>
      <c r="F96" s="384">
        <f>SUMIF('9.Non-elective admissions - Map'!$C$5:$C$870,'10.Non-elective admissions -HWB'!$D96,'9.Non-elective admissions - Map'!J$5:J$870)</f>
        <v>5603.5839465309436</v>
      </c>
      <c r="G96" s="384">
        <f>SUMIF('9.Non-elective admissions - Map'!$C$5:$C$870,'10.Non-elective admissions -HWB'!$D96,'9.Non-elective admissions - Map'!K$5:K$870)</f>
        <v>5066.2939154452297</v>
      </c>
      <c r="H96" s="384">
        <f>SUMIF('9.Non-elective admissions - Map'!$C$5:$C$870,'10.Non-elective admissions -HWB'!$D96,'9.Non-elective admissions - Map'!L$5:L$870)</f>
        <v>4031.8569975709906</v>
      </c>
      <c r="I96" s="384">
        <f>SUMIF('9.Non-elective admissions - Map'!$C$5:$C$870,'10.Non-elective admissions -HWB'!$D96,'9.Non-elective admissions - Map'!M$5:M$870)</f>
        <v>4526.9499124273052</v>
      </c>
      <c r="J96" s="384">
        <f>SUMIF('9.Non-elective admissions - Map'!$C$5:$C$870,'10.Non-elective admissions -HWB'!$D96,'9.Non-elective admissions - Map'!N$5:N$870)</f>
        <v>38823.899360485768</v>
      </c>
      <c r="K96" s="384">
        <f>SUMIF('9.Non-elective admissions - Map'!$C$5:$C$870,'10.Non-elective admissions -HWB'!$D96,'9.Non-elective admissions - Map'!O$5:O$870)</f>
        <v>39897.467014506241</v>
      </c>
      <c r="L96" s="384">
        <f>SUMIF('9.Non-elective admissions - Map'!$C$5:$C$870,'10.Non-elective admissions -HWB'!$D96,'9.Non-elective admissions - Map'!P$5:P$870)</f>
        <v>37028.385886479278</v>
      </c>
      <c r="M96" s="384">
        <f>SUMIF('9.Non-elective admissions - Map'!$C$5:$C$870,'10.Non-elective admissions -HWB'!$D96,'9.Non-elective admissions - Map'!Q$5:Q$870)</f>
        <v>37859.508916139755</v>
      </c>
      <c r="N96" s="384">
        <f>SUMIF('9.Non-elective admissions - Map'!$C$5:$C$870,'10.Non-elective admissions -HWB'!$D96,'9.Non-elective admissions - Map'!R$5:R$870)</f>
        <v>5873.1771231342718</v>
      </c>
      <c r="O96" s="384">
        <f>SUMIF('9.Non-elective admissions - Map'!$C$5:$C$870,'10.Non-elective admissions -HWB'!$D96,'9.Non-elective admissions - Map'!S$5:S$870)</f>
        <v>5906.4078080047357</v>
      </c>
      <c r="P96" s="384">
        <f>SUMIF('9.Non-elective admissions - Map'!$C$5:$C$870,'10.Non-elective admissions -HWB'!$D96,'9.Non-elective admissions - Map'!T$5:T$870)</f>
        <v>6096.0873953736691</v>
      </c>
      <c r="Q96" s="384">
        <f>SUMIF('9.Non-elective admissions - Map'!$C$5:$C$870,'10.Non-elective admissions -HWB'!$D96,'9.Non-elective admissions - Map'!U$5:U$870)</f>
        <v>6574.8911704884749</v>
      </c>
    </row>
    <row r="97" spans="1:17">
      <c r="A97" s="380" t="s">
        <v>1201</v>
      </c>
      <c r="B97" s="381" t="s">
        <v>1202</v>
      </c>
      <c r="C97" s="381" t="s">
        <v>1201</v>
      </c>
      <c r="D97" s="381" t="s">
        <v>703</v>
      </c>
      <c r="E97" s="382" t="s">
        <v>219</v>
      </c>
      <c r="F97" s="384">
        <f>SUMIF('9.Non-elective admissions - Map'!$C$5:$C$870,'10.Non-elective admissions -HWB'!$D97,'9.Non-elective admissions - Map'!J$5:J$870)</f>
        <v>6250.392537663357</v>
      </c>
      <c r="G97" s="384">
        <f>SUMIF('9.Non-elective admissions - Map'!$C$5:$C$870,'10.Non-elective admissions -HWB'!$D97,'9.Non-elective admissions - Map'!K$5:K$870)</f>
        <v>5982.1310879979083</v>
      </c>
      <c r="H97" s="384">
        <f>SUMIF('9.Non-elective admissions - Map'!$C$5:$C$870,'10.Non-elective admissions -HWB'!$D97,'9.Non-elective admissions - Map'!L$5:L$870)</f>
        <v>5944.5082118794335</v>
      </c>
      <c r="I97" s="384">
        <f>SUMIF('9.Non-elective admissions - Map'!$C$5:$C$870,'10.Non-elective admissions -HWB'!$D97,'9.Non-elective admissions - Map'!M$5:M$870)</f>
        <v>6517.7889193150459</v>
      </c>
      <c r="J97" s="384">
        <f>SUMIF('9.Non-elective admissions - Map'!$C$5:$C$870,'10.Non-elective admissions -HWB'!$D97,'9.Non-elective admissions - Map'!N$5:N$870)</f>
        <v>5842.6439752535516</v>
      </c>
      <c r="K97" s="384">
        <f>SUMIF('9.Non-elective admissions - Map'!$C$5:$C$870,'10.Non-elective admissions -HWB'!$D97,'9.Non-elective admissions - Map'!O$5:O$870)</f>
        <v>5584.0039165762637</v>
      </c>
      <c r="L97" s="384">
        <f>SUMIF('9.Non-elective admissions - Map'!$C$5:$C$870,'10.Non-elective admissions -HWB'!$D97,'9.Non-elective admissions - Map'!P$5:P$870)</f>
        <v>5553.4884398967552</v>
      </c>
      <c r="M97" s="384">
        <f>SUMIF('9.Non-elective admissions - Map'!$C$5:$C$870,'10.Non-elective admissions -HWB'!$D97,'9.Non-elective admissions - Map'!Q$5:Q$870)</f>
        <v>6146.2992855447947</v>
      </c>
      <c r="N97" s="384">
        <f>SUMIF('9.Non-elective admissions - Map'!$C$5:$C$870,'10.Non-elective admissions -HWB'!$D97,'9.Non-elective admissions - Map'!R$5:R$870)</f>
        <v>5920.3471574525793</v>
      </c>
      <c r="O97" s="384">
        <f>SUMIF('9.Non-elective admissions - Map'!$C$5:$C$870,'10.Non-elective admissions -HWB'!$D97,'9.Non-elective admissions - Map'!S$5:S$870)</f>
        <v>5658.24659216912</v>
      </c>
      <c r="P97" s="384">
        <f>SUMIF('9.Non-elective admissions - Map'!$C$5:$C$870,'10.Non-elective admissions -HWB'!$D97,'9.Non-elective admissions - Map'!T$5:T$870)</f>
        <v>5609.1735183467872</v>
      </c>
      <c r="Q97" s="384">
        <f>SUMIF('9.Non-elective admissions - Map'!$C$5:$C$870,'10.Non-elective admissions -HWB'!$D97,'9.Non-elective admissions - Map'!U$5:U$870)</f>
        <v>6169.3857027903459</v>
      </c>
    </row>
    <row r="98" spans="1:17">
      <c r="A98" s="380" t="s">
        <v>1201</v>
      </c>
      <c r="B98" s="381" t="s">
        <v>1202</v>
      </c>
      <c r="C98" s="381" t="s">
        <v>1201</v>
      </c>
      <c r="D98" s="381" t="s">
        <v>710</v>
      </c>
      <c r="E98" s="382" t="s">
        <v>245</v>
      </c>
      <c r="F98" s="384">
        <f>SUMIF('9.Non-elective admissions - Map'!$C$5:$C$870,'10.Non-elective admissions -HWB'!$D98,'9.Non-elective admissions - Map'!J$5:J$870)</f>
        <v>4916.2492999509614</v>
      </c>
      <c r="G98" s="384">
        <f>SUMIF('9.Non-elective admissions - Map'!$C$5:$C$870,'10.Non-elective admissions -HWB'!$D98,'9.Non-elective admissions - Map'!K$5:K$870)</f>
        <v>4326.4779102943485</v>
      </c>
      <c r="H98" s="384">
        <f>SUMIF('9.Non-elective admissions - Map'!$C$5:$C$870,'10.Non-elective admissions -HWB'!$D98,'9.Non-elective admissions - Map'!L$5:L$870)</f>
        <v>2985.5145053328979</v>
      </c>
      <c r="I98" s="384">
        <f>SUMIF('9.Non-elective admissions - Map'!$C$5:$C$870,'10.Non-elective admissions -HWB'!$D98,'9.Non-elective admissions - Map'!M$5:M$870)</f>
        <v>3042.7551354523403</v>
      </c>
      <c r="J98" s="384">
        <f>SUMIF('9.Non-elective admissions - Map'!$C$5:$C$870,'10.Non-elective admissions -HWB'!$D98,'9.Non-elective admissions - Map'!N$5:N$870)</f>
        <v>5430.2419874825819</v>
      </c>
      <c r="K98" s="384">
        <f>SUMIF('9.Non-elective admissions - Map'!$C$5:$C$870,'10.Non-elective admissions -HWB'!$D98,'9.Non-elective admissions - Map'!O$5:O$870)</f>
        <v>5591.9301233729157</v>
      </c>
      <c r="L98" s="384">
        <f>SUMIF('9.Non-elective admissions - Map'!$C$5:$C$870,'10.Non-elective admissions -HWB'!$D98,'9.Non-elective admissions - Map'!P$5:P$870)</f>
        <v>5716.6114106726081</v>
      </c>
      <c r="M98" s="384">
        <f>SUMIF('9.Non-elective admissions - Map'!$C$5:$C$870,'10.Non-elective admissions -HWB'!$D98,'9.Non-elective admissions - Map'!Q$5:Q$870)</f>
        <v>5821.744324157331</v>
      </c>
      <c r="N98" s="384">
        <f>SUMIF('9.Non-elective admissions - Map'!$C$5:$C$870,'10.Non-elective admissions -HWB'!$D98,'9.Non-elective admissions - Map'!R$5:R$870)</f>
        <v>4861.2504575018002</v>
      </c>
      <c r="O98" s="384">
        <f>SUMIF('9.Non-elective admissions - Map'!$C$5:$C$870,'10.Non-elective admissions -HWB'!$D98,'9.Non-elective admissions - Map'!S$5:S$870)</f>
        <v>5003.0483445200616</v>
      </c>
      <c r="P98" s="384">
        <f>SUMIF('9.Non-elective admissions - Map'!$C$5:$C$870,'10.Non-elective admissions -HWB'!$D98,'9.Non-elective admissions - Map'!T$5:T$870)</f>
        <v>5172.7804539930603</v>
      </c>
      <c r="Q98" s="384">
        <f>SUMIF('9.Non-elective admissions - Map'!$C$5:$C$870,'10.Non-elective admissions -HWB'!$D98,'9.Non-elective admissions - Map'!U$5:U$870)</f>
        <v>5271.343939595793</v>
      </c>
    </row>
    <row r="99" spans="1:17">
      <c r="A99" s="380" t="s">
        <v>1201</v>
      </c>
      <c r="B99" s="381" t="s">
        <v>1202</v>
      </c>
      <c r="C99" s="381" t="s">
        <v>1201</v>
      </c>
      <c r="D99" s="381" t="s">
        <v>732</v>
      </c>
      <c r="E99" s="382" t="s">
        <v>312</v>
      </c>
      <c r="F99" s="384">
        <f>SUMIF('9.Non-elective admissions - Map'!$C$5:$C$870,'10.Non-elective admissions -HWB'!$D99,'9.Non-elective admissions - Map'!J$5:J$870)</f>
        <v>7402.1264873843429</v>
      </c>
      <c r="G99" s="384">
        <f>SUMIF('9.Non-elective admissions - Map'!$C$5:$C$870,'10.Non-elective admissions -HWB'!$D99,'9.Non-elective admissions - Map'!K$5:K$870)</f>
        <v>7573.5255682562038</v>
      </c>
      <c r="H99" s="384">
        <f>SUMIF('9.Non-elective admissions - Map'!$C$5:$C$870,'10.Non-elective admissions -HWB'!$D99,'9.Non-elective admissions - Map'!L$5:L$870)</f>
        <v>8036.7527862883289</v>
      </c>
      <c r="I99" s="384">
        <f>SUMIF('9.Non-elective admissions - Map'!$C$5:$C$870,'10.Non-elective admissions -HWB'!$D99,'9.Non-elective admissions - Map'!M$5:M$870)</f>
        <v>7792.2962547260422</v>
      </c>
      <c r="J99" s="384">
        <f>SUMIF('9.Non-elective admissions - Map'!$C$5:$C$870,'10.Non-elective admissions -HWB'!$D99,'9.Non-elective admissions - Map'!N$5:N$870)</f>
        <v>7389.2917757279947</v>
      </c>
      <c r="K99" s="384">
        <f>SUMIF('9.Non-elective admissions - Map'!$C$5:$C$870,'10.Non-elective admissions -HWB'!$D99,'9.Non-elective admissions - Map'!O$5:O$870)</f>
        <v>7512.68003591041</v>
      </c>
      <c r="L99" s="384">
        <f>SUMIF('9.Non-elective admissions - Map'!$C$5:$C$870,'10.Non-elective admissions -HWB'!$D99,'9.Non-elective admissions - Map'!P$5:P$870)</f>
        <v>7920.5851906689495</v>
      </c>
      <c r="M99" s="384">
        <f>SUMIF('9.Non-elective admissions - Map'!$C$5:$C$870,'10.Non-elective admissions -HWB'!$D99,'9.Non-elective admissions - Map'!Q$5:Q$870)</f>
        <v>7622.6569006813825</v>
      </c>
      <c r="N99" s="384">
        <f>SUMIF('9.Non-elective admissions - Map'!$C$5:$C$870,'10.Non-elective admissions -HWB'!$D99,'9.Non-elective admissions - Map'!R$5:R$870)</f>
        <v>7323.9977606839393</v>
      </c>
      <c r="O99" s="384">
        <f>SUMIF('9.Non-elective admissions - Map'!$C$5:$C$870,'10.Non-elective admissions -HWB'!$D99,'9.Non-elective admissions - Map'!S$5:S$870)</f>
        <v>7443.8311310689205</v>
      </c>
      <c r="P99" s="384">
        <f>SUMIF('9.Non-elective admissions - Map'!$C$5:$C$870,'10.Non-elective admissions -HWB'!$D99,'9.Non-elective admissions - Map'!T$5:T$870)</f>
        <v>7851.0028615629517</v>
      </c>
      <c r="Q99" s="384">
        <f>SUMIF('9.Non-elective admissions - Map'!$C$5:$C$870,'10.Non-elective admissions -HWB'!$D99,'9.Non-elective admissions - Map'!U$5:U$870)</f>
        <v>7540.0237543988442</v>
      </c>
    </row>
    <row r="100" spans="1:17">
      <c r="A100" s="380" t="s">
        <v>1201</v>
      </c>
      <c r="B100" s="381" t="s">
        <v>1202</v>
      </c>
      <c r="C100" s="381" t="s">
        <v>1201</v>
      </c>
      <c r="D100" s="381" t="s">
        <v>749</v>
      </c>
      <c r="E100" s="382" t="s">
        <v>363</v>
      </c>
      <c r="F100" s="384">
        <f>SUMIF('9.Non-elective admissions - Map'!$C$5:$C$870,'10.Non-elective admissions -HWB'!$D100,'9.Non-elective admissions - Map'!J$5:J$870)</f>
        <v>7061.745584965819</v>
      </c>
      <c r="G100" s="384">
        <f>SUMIF('9.Non-elective admissions - Map'!$C$5:$C$870,'10.Non-elective admissions -HWB'!$D100,'9.Non-elective admissions - Map'!K$5:K$870)</f>
        <v>6853.9034537206626</v>
      </c>
      <c r="H100" s="384">
        <f>SUMIF('9.Non-elective admissions - Map'!$C$5:$C$870,'10.Non-elective admissions -HWB'!$D100,'9.Non-elective admissions - Map'!L$5:L$870)</f>
        <v>6960.9115201489512</v>
      </c>
      <c r="I100" s="384">
        <f>SUMIF('9.Non-elective admissions - Map'!$C$5:$C$870,'10.Non-elective admissions -HWB'!$D100,'9.Non-elective admissions - Map'!M$5:M$870)</f>
        <v>7575.6169501041077</v>
      </c>
      <c r="J100" s="384">
        <f>SUMIF('9.Non-elective admissions - Map'!$C$5:$C$870,'10.Non-elective admissions -HWB'!$D100,'9.Non-elective admissions - Map'!N$5:N$870)</f>
        <v>7096.2640198764038</v>
      </c>
      <c r="K100" s="384">
        <f>SUMIF('9.Non-elective admissions - Map'!$C$5:$C$870,'10.Non-elective admissions -HWB'!$D100,'9.Non-elective admissions - Map'!O$5:O$870)</f>
        <v>6757.7737897752277</v>
      </c>
      <c r="L100" s="384">
        <f>SUMIF('9.Non-elective admissions - Map'!$C$5:$C$870,'10.Non-elective admissions -HWB'!$D100,'9.Non-elective admissions - Map'!P$5:P$870)</f>
        <v>6825.4695511723503</v>
      </c>
      <c r="M100" s="384">
        <f>SUMIF('9.Non-elective admissions - Map'!$C$5:$C$870,'10.Non-elective admissions -HWB'!$D100,'9.Non-elective admissions - Map'!Q$5:Q$870)</f>
        <v>7471.9039868276104</v>
      </c>
      <c r="N100" s="384">
        <f>SUMIF('9.Non-elective admissions - Map'!$C$5:$C$870,'10.Non-elective admissions -HWB'!$D100,'9.Non-elective admissions - Map'!R$5:R$870)</f>
        <v>7236.5319010112662</v>
      </c>
      <c r="O100" s="384">
        <f>SUMIF('9.Non-elective admissions - Map'!$C$5:$C$870,'10.Non-elective admissions -HWB'!$D100,'9.Non-elective admissions - Map'!S$5:S$870)</f>
        <v>6886.7214753185326</v>
      </c>
      <c r="P100" s="384">
        <f>SUMIF('9.Non-elective admissions - Map'!$C$5:$C$870,'10.Non-elective admissions -HWB'!$D100,'9.Non-elective admissions - Map'!T$5:T$870)</f>
        <v>6951.7561126244454</v>
      </c>
      <c r="Q100" s="384">
        <f>SUMIF('9.Non-elective admissions - Map'!$C$5:$C$870,'10.Non-elective admissions -HWB'!$D100,'9.Non-elective admissions - Map'!U$5:U$870)</f>
        <v>8330.7261417872669</v>
      </c>
    </row>
    <row r="101" spans="1:17">
      <c r="A101" s="380" t="s">
        <v>1201</v>
      </c>
      <c r="B101" s="381" t="s">
        <v>1202</v>
      </c>
      <c r="C101" s="381" t="s">
        <v>1201</v>
      </c>
      <c r="D101" s="381" t="s">
        <v>782</v>
      </c>
      <c r="E101" s="382" t="s">
        <v>462</v>
      </c>
      <c r="F101" s="384">
        <f>SUMIF('9.Non-elective admissions - Map'!$C$5:$C$870,'10.Non-elective admissions -HWB'!$D101,'9.Non-elective admissions - Map'!J$5:J$870)</f>
        <v>5676.4714536883321</v>
      </c>
      <c r="G101" s="384">
        <f>SUMIF('9.Non-elective admissions - Map'!$C$5:$C$870,'10.Non-elective admissions -HWB'!$D101,'9.Non-elective admissions - Map'!K$5:K$870)</f>
        <v>5135.9430097726226</v>
      </c>
      <c r="H101" s="384">
        <f>SUMIF('9.Non-elective admissions - Map'!$C$5:$C$870,'10.Non-elective admissions -HWB'!$D101,'9.Non-elective admissions - Map'!L$5:L$870)</f>
        <v>5491.3492695311161</v>
      </c>
      <c r="I101" s="384">
        <f>SUMIF('9.Non-elective admissions - Map'!$C$5:$C$870,'10.Non-elective admissions -HWB'!$D101,'9.Non-elective admissions - Map'!M$5:M$870)</f>
        <v>5074.1443472501187</v>
      </c>
      <c r="J101" s="384">
        <f>SUMIF('9.Non-elective admissions - Map'!$C$5:$C$870,'10.Non-elective admissions -HWB'!$D101,'9.Non-elective admissions - Map'!N$5:N$870)</f>
        <v>5572.8483546286516</v>
      </c>
      <c r="K101" s="384">
        <f>SUMIF('9.Non-elective admissions - Map'!$C$5:$C$870,'10.Non-elective admissions -HWB'!$D101,'9.Non-elective admissions - Map'!O$5:O$870)</f>
        <v>4970.3035792198552</v>
      </c>
      <c r="L101" s="384">
        <f>SUMIF('9.Non-elective admissions - Map'!$C$5:$C$870,'10.Non-elective admissions -HWB'!$D101,'9.Non-elective admissions - Map'!P$5:P$870)</f>
        <v>5310.2669221958622</v>
      </c>
      <c r="M101" s="384">
        <f>SUMIF('9.Non-elective admissions - Map'!$C$5:$C$870,'10.Non-elective admissions -HWB'!$D101,'9.Non-elective admissions - Map'!Q$5:Q$870)</f>
        <v>4822.7346814718885</v>
      </c>
      <c r="N101" s="384">
        <f>SUMIF('9.Non-elective admissions - Map'!$C$5:$C$870,'10.Non-elective admissions -HWB'!$D101,'9.Non-elective admissions - Map'!R$5:R$870)</f>
        <v>5700.9890272041794</v>
      </c>
      <c r="O101" s="384">
        <f>SUMIF('9.Non-elective admissions - Map'!$C$5:$C$870,'10.Non-elective admissions -HWB'!$D101,'9.Non-elective admissions - Map'!S$5:S$870)</f>
        <v>5083.4273622626333</v>
      </c>
      <c r="P101" s="384">
        <f>SUMIF('9.Non-elective admissions - Map'!$C$5:$C$870,'10.Non-elective admissions -HWB'!$D101,'9.Non-elective admissions - Map'!T$5:T$870)</f>
        <v>5432.4347243710063</v>
      </c>
      <c r="Q101" s="384">
        <f>SUMIF('9.Non-elective admissions - Map'!$C$5:$C$870,'10.Non-elective admissions -HWB'!$D101,'9.Non-elective admissions - Map'!U$5:U$870)</f>
        <v>4932.0489685546763</v>
      </c>
    </row>
    <row r="102" spans="1:17">
      <c r="A102" s="380" t="s">
        <v>1201</v>
      </c>
      <c r="B102" s="381" t="s">
        <v>1202</v>
      </c>
      <c r="C102" s="381" t="s">
        <v>1201</v>
      </c>
      <c r="D102" s="381" t="s">
        <v>786</v>
      </c>
      <c r="E102" s="382" t="s">
        <v>474</v>
      </c>
      <c r="F102" s="384">
        <f>SUMIF('9.Non-elective admissions - Map'!$C$5:$C$870,'10.Non-elective admissions -HWB'!$D102,'9.Non-elective admissions - Map'!J$5:J$870)</f>
        <v>7126.7796225015409</v>
      </c>
      <c r="G102" s="384">
        <f>SUMIF('9.Non-elective admissions - Map'!$C$5:$C$870,'10.Non-elective admissions -HWB'!$D102,'9.Non-elective admissions - Map'!K$5:K$870)</f>
        <v>6823.8870975690979</v>
      </c>
      <c r="H102" s="384">
        <f>SUMIF('9.Non-elective admissions - Map'!$C$5:$C$870,'10.Non-elective admissions -HWB'!$D102,'9.Non-elective admissions - Map'!L$5:L$870)</f>
        <v>7417.9219303448854</v>
      </c>
      <c r="I102" s="384">
        <f>SUMIF('9.Non-elective admissions - Map'!$C$5:$C$870,'10.Non-elective admissions -HWB'!$D102,'9.Non-elective admissions - Map'!M$5:M$870)</f>
        <v>6976.5383537697435</v>
      </c>
      <c r="J102" s="384">
        <f>SUMIF('9.Non-elective admissions - Map'!$C$5:$C$870,'10.Non-elective admissions -HWB'!$D102,'9.Non-elective admissions - Map'!N$5:N$870)</f>
        <v>7326.1588457678936</v>
      </c>
      <c r="K102" s="384">
        <f>SUMIF('9.Non-elective admissions - Map'!$C$5:$C$870,'10.Non-elective admissions -HWB'!$D102,'9.Non-elective admissions - Map'!O$5:O$870)</f>
        <v>7018.7042751349027</v>
      </c>
      <c r="L102" s="384">
        <f>SUMIF('9.Non-elective admissions - Map'!$C$5:$C$870,'10.Non-elective admissions -HWB'!$D102,'9.Non-elective admissions - Map'!P$5:P$870)</f>
        <v>7617.9367803110854</v>
      </c>
      <c r="M102" s="384">
        <f>SUMIF('9.Non-elective admissions - Map'!$C$5:$C$870,'10.Non-elective admissions -HWB'!$D102,'9.Non-elective admissions - Map'!Q$5:Q$870)</f>
        <v>7172.3548412505361</v>
      </c>
      <c r="N102" s="384">
        <f>SUMIF('9.Non-elective admissions - Map'!$C$5:$C$870,'10.Non-elective admissions -HWB'!$D102,'9.Non-elective admissions - Map'!R$5:R$870)</f>
        <v>7671.499560476127</v>
      </c>
      <c r="O102" s="384">
        <f>SUMIF('9.Non-elective admissions - Map'!$C$5:$C$870,'10.Non-elective admissions -HWB'!$D102,'9.Non-elective admissions - Map'!S$5:S$870)</f>
        <v>7228.8933279835874</v>
      </c>
      <c r="P102" s="384">
        <f>SUMIF('9.Non-elective admissions - Map'!$C$5:$C$870,'10.Non-elective admissions -HWB'!$D102,'9.Non-elective admissions - Map'!T$5:T$870)</f>
        <v>7735.6577205070798</v>
      </c>
      <c r="Q102" s="384">
        <f>SUMIF('9.Non-elective admissions - Map'!$C$5:$C$870,'10.Non-elective admissions -HWB'!$D102,'9.Non-elective admissions - Map'!U$5:U$870)</f>
        <v>6613.1951374888777</v>
      </c>
    </row>
    <row r="103" spans="1:17">
      <c r="A103" s="380" t="s">
        <v>1201</v>
      </c>
      <c r="B103" s="381" t="s">
        <v>1202</v>
      </c>
      <c r="C103" s="381" t="s">
        <v>1201</v>
      </c>
      <c r="D103" s="381" t="s">
        <v>663</v>
      </c>
      <c r="E103" s="382" t="s">
        <v>72</v>
      </c>
      <c r="F103" s="384">
        <f>SUMIF('9.Non-elective admissions - Map'!$C$5:$C$870,'10.Non-elective admissions -HWB'!$D103,'9.Non-elective admissions - Map'!J$5:J$870)</f>
        <v>7758.2683873954675</v>
      </c>
      <c r="G103" s="384">
        <f>SUMIF('9.Non-elective admissions - Map'!$C$5:$C$870,'10.Non-elective admissions -HWB'!$D103,'9.Non-elective admissions - Map'!K$5:K$870)</f>
        <v>7542.6151919082204</v>
      </c>
      <c r="H103" s="384">
        <f>SUMIF('9.Non-elective admissions - Map'!$C$5:$C$870,'10.Non-elective admissions -HWB'!$D103,'9.Non-elective admissions - Map'!L$5:L$870)</f>
        <v>7799.9445212180099</v>
      </c>
      <c r="I103" s="384">
        <f>SUMIF('9.Non-elective admissions - Map'!$C$5:$C$870,'10.Non-elective admissions -HWB'!$D103,'9.Non-elective admissions - Map'!M$5:M$870)</f>
        <v>7900.856277937597</v>
      </c>
      <c r="J103" s="384">
        <f>SUMIF('9.Non-elective admissions - Map'!$C$5:$C$870,'10.Non-elective admissions -HWB'!$D103,'9.Non-elective admissions - Map'!N$5:N$870)</f>
        <v>7787.5042794669253</v>
      </c>
      <c r="K103" s="384">
        <f>SUMIF('9.Non-elective admissions - Map'!$C$5:$C$870,'10.Non-elective admissions -HWB'!$D103,'9.Non-elective admissions - Map'!O$5:O$870)</f>
        <v>7537.9425891937153</v>
      </c>
      <c r="L103" s="384">
        <f>SUMIF('9.Non-elective admissions - Map'!$C$5:$C$870,'10.Non-elective admissions -HWB'!$D103,'9.Non-elective admissions - Map'!P$5:P$870)</f>
        <v>7757.5902439952079</v>
      </c>
      <c r="M103" s="384">
        <f>SUMIF('9.Non-elective admissions - Map'!$C$5:$C$870,'10.Non-elective admissions -HWB'!$D103,'9.Non-elective admissions - Map'!Q$5:Q$870)</f>
        <v>7873.7080623914699</v>
      </c>
      <c r="N103" s="384">
        <f>SUMIF('9.Non-elective admissions - Map'!$C$5:$C$870,'10.Non-elective admissions -HWB'!$D103,'9.Non-elective admissions - Map'!R$5:R$870)</f>
        <v>7520.1695983231721</v>
      </c>
      <c r="O103" s="384">
        <f>SUMIF('9.Non-elective admissions - Map'!$C$5:$C$870,'10.Non-elective admissions -HWB'!$D103,'9.Non-elective admissions - Map'!S$5:S$870)</f>
        <v>7258.1663039569057</v>
      </c>
      <c r="P103" s="384">
        <f>SUMIF('9.Non-elective admissions - Map'!$C$5:$C$870,'10.Non-elective admissions -HWB'!$D103,'9.Non-elective admissions - Map'!T$5:T$870)</f>
        <v>7491.8143411260417</v>
      </c>
      <c r="Q103" s="384">
        <f>SUMIF('9.Non-elective admissions - Map'!$C$5:$C$870,'10.Non-elective admissions -HWB'!$D103,'9.Non-elective admissions - Map'!U$5:U$870)</f>
        <v>7608.9662781959114</v>
      </c>
    </row>
    <row r="104" spans="1:17">
      <c r="A104" s="380" t="s">
        <v>1201</v>
      </c>
      <c r="B104" s="381" t="s">
        <v>1202</v>
      </c>
      <c r="C104" s="381" t="s">
        <v>1201</v>
      </c>
      <c r="D104" s="381" t="s">
        <v>688</v>
      </c>
      <c r="E104" s="382" t="s">
        <v>166</v>
      </c>
      <c r="F104" s="384">
        <f>SUMIF('9.Non-elective admissions - Map'!$C$5:$C$870,'10.Non-elective admissions -HWB'!$D104,'9.Non-elective admissions - Map'!J$5:J$870)</f>
        <v>8824.4566683941521</v>
      </c>
      <c r="G104" s="384">
        <f>SUMIF('9.Non-elective admissions - Map'!$C$5:$C$870,'10.Non-elective admissions -HWB'!$D104,'9.Non-elective admissions - Map'!K$5:K$870)</f>
        <v>9109.1200548506549</v>
      </c>
      <c r="H104" s="384">
        <f>SUMIF('9.Non-elective admissions - Map'!$C$5:$C$870,'10.Non-elective admissions -HWB'!$D104,'9.Non-elective admissions - Map'!L$5:L$870)</f>
        <v>9100.3134598466659</v>
      </c>
      <c r="I104" s="384">
        <f>SUMIF('9.Non-elective admissions - Map'!$C$5:$C$870,'10.Non-elective admissions -HWB'!$D104,'9.Non-elective admissions - Map'!M$5:M$870)</f>
        <v>8874.2640176570749</v>
      </c>
      <c r="J104" s="384">
        <f>SUMIF('9.Non-elective admissions - Map'!$C$5:$C$870,'10.Non-elective admissions -HWB'!$D104,'9.Non-elective admissions - Map'!N$5:N$870)</f>
        <v>9367.2024178034444</v>
      </c>
      <c r="K104" s="384">
        <f>SUMIF('9.Non-elective admissions - Map'!$C$5:$C$870,'10.Non-elective admissions -HWB'!$D104,'9.Non-elective admissions - Map'!O$5:O$870)</f>
        <v>9388.4263335812466</v>
      </c>
      <c r="L104" s="384">
        <f>SUMIF('9.Non-elective admissions - Map'!$C$5:$C$870,'10.Non-elective admissions -HWB'!$D104,'9.Non-elective admissions - Map'!P$5:P$870)</f>
        <v>9408.3495643740353</v>
      </c>
      <c r="M104" s="384">
        <f>SUMIF('9.Non-elective admissions - Map'!$C$5:$C$870,'10.Non-elective admissions -HWB'!$D104,'9.Non-elective admissions - Map'!Q$5:Q$870)</f>
        <v>9178.1871179925001</v>
      </c>
      <c r="N104" s="384">
        <f>SUMIF('9.Non-elective admissions - Map'!$C$5:$C$870,'10.Non-elective admissions -HWB'!$D104,'9.Non-elective admissions - Map'!R$5:R$870)</f>
        <v>9408.5645211871361</v>
      </c>
      <c r="O104" s="384">
        <f>SUMIF('9.Non-elective admissions - Map'!$C$5:$C$870,'10.Non-elective admissions -HWB'!$D104,'9.Non-elective admissions - Map'!S$5:S$870)</f>
        <v>9432.4552358353412</v>
      </c>
      <c r="P104" s="384">
        <f>SUMIF('9.Non-elective admissions - Map'!$C$5:$C$870,'10.Non-elective admissions -HWB'!$D104,'9.Non-elective admissions - Map'!T$5:T$870)</f>
        <v>9452.456794833186</v>
      </c>
      <c r="Q104" s="384">
        <f>SUMIF('9.Non-elective admissions - Map'!$C$5:$C$870,'10.Non-elective admissions -HWB'!$D104,'9.Non-elective admissions - Map'!U$5:U$870)</f>
        <v>9222.7554716300165</v>
      </c>
    </row>
    <row r="105" spans="1:17">
      <c r="A105" s="380" t="s">
        <v>1201</v>
      </c>
      <c r="B105" s="381" t="s">
        <v>1202</v>
      </c>
      <c r="C105" s="381" t="s">
        <v>1201</v>
      </c>
      <c r="D105" s="381" t="s">
        <v>698</v>
      </c>
      <c r="E105" s="382" t="s">
        <v>202</v>
      </c>
      <c r="F105" s="384">
        <f>SUMIF('9.Non-elective admissions - Map'!$C$5:$C$870,'10.Non-elective admissions -HWB'!$D105,'9.Non-elective admissions - Map'!J$5:J$870)</f>
        <v>4598.2395537693092</v>
      </c>
      <c r="G105" s="384">
        <f>SUMIF('9.Non-elective admissions - Map'!$C$5:$C$870,'10.Non-elective admissions -HWB'!$D105,'9.Non-elective admissions - Map'!K$5:K$870)</f>
        <v>4917.972531226008</v>
      </c>
      <c r="H105" s="384">
        <f>SUMIF('9.Non-elective admissions - Map'!$C$5:$C$870,'10.Non-elective admissions -HWB'!$D105,'9.Non-elective admissions - Map'!L$5:L$870)</f>
        <v>4902.1949728700674</v>
      </c>
      <c r="I105" s="384">
        <f>SUMIF('9.Non-elective admissions - Map'!$C$5:$C$870,'10.Non-elective admissions -HWB'!$D105,'9.Non-elective admissions - Map'!M$5:M$870)</f>
        <v>4833.0369285172983</v>
      </c>
      <c r="J105" s="384">
        <f>SUMIF('9.Non-elective admissions - Map'!$C$5:$C$870,'10.Non-elective admissions -HWB'!$D105,'9.Non-elective admissions - Map'!N$5:N$870)</f>
        <v>5263.9008343110618</v>
      </c>
      <c r="K105" s="384">
        <f>SUMIF('9.Non-elective admissions - Map'!$C$5:$C$870,'10.Non-elective admissions -HWB'!$D105,'9.Non-elective admissions - Map'!O$5:O$870)</f>
        <v>5391.9967700353636</v>
      </c>
      <c r="L105" s="384">
        <f>SUMIF('9.Non-elective admissions - Map'!$C$5:$C$870,'10.Non-elective admissions -HWB'!$D105,'9.Non-elective admissions - Map'!P$5:P$870)</f>
        <v>5407.2938232009656</v>
      </c>
      <c r="M105" s="384">
        <f>SUMIF('9.Non-elective admissions - Map'!$C$5:$C$870,'10.Non-elective admissions -HWB'!$D105,'9.Non-elective admissions - Map'!Q$5:Q$870)</f>
        <v>5183.2319151392539</v>
      </c>
      <c r="N105" s="384">
        <f>SUMIF('9.Non-elective admissions - Map'!$C$5:$C$870,'10.Non-elective admissions -HWB'!$D105,'9.Non-elective admissions - Map'!R$5:R$870)</f>
        <v>5188.7718406014919</v>
      </c>
      <c r="O105" s="384">
        <f>SUMIF('9.Non-elective admissions - Map'!$C$5:$C$870,'10.Non-elective admissions -HWB'!$D105,'9.Non-elective admissions - Map'!S$5:S$870)</f>
        <v>5316.7978649343786</v>
      </c>
      <c r="P105" s="384">
        <f>SUMIF('9.Non-elective admissions - Map'!$C$5:$C$870,'10.Non-elective admissions -HWB'!$D105,'9.Non-elective admissions - Map'!T$5:T$870)</f>
        <v>5334.0909747166825</v>
      </c>
      <c r="Q105" s="384">
        <f>SUMIF('9.Non-elective admissions - Map'!$C$5:$C$870,'10.Non-elective admissions -HWB'!$D105,'9.Non-elective admissions - Map'!U$5:U$870)</f>
        <v>5108.8787669201065</v>
      </c>
    </row>
    <row r="106" spans="1:17">
      <c r="A106" s="380" t="s">
        <v>1201</v>
      </c>
      <c r="B106" s="381" t="s">
        <v>1202</v>
      </c>
      <c r="C106" s="381" t="s">
        <v>1201</v>
      </c>
      <c r="D106" s="381" t="s">
        <v>701</v>
      </c>
      <c r="E106" s="382" t="s">
        <v>212</v>
      </c>
      <c r="F106" s="384">
        <f>SUMIF('9.Non-elective admissions - Map'!$C$5:$C$870,'10.Non-elective admissions -HWB'!$D106,'9.Non-elective admissions - Map'!J$5:J$870)</f>
        <v>5552.5246057462682</v>
      </c>
      <c r="G106" s="384">
        <f>SUMIF('9.Non-elective admissions - Map'!$C$5:$C$870,'10.Non-elective admissions -HWB'!$D106,'9.Non-elective admissions - Map'!K$5:K$870)</f>
        <v>5526.7842824384588</v>
      </c>
      <c r="H106" s="384">
        <f>SUMIF('9.Non-elective admissions - Map'!$C$5:$C$870,'10.Non-elective admissions -HWB'!$D106,'9.Non-elective admissions - Map'!L$5:L$870)</f>
        <v>5631.0474736055276</v>
      </c>
      <c r="I106" s="384">
        <f>SUMIF('9.Non-elective admissions - Map'!$C$5:$C$870,'10.Non-elective admissions -HWB'!$D106,'9.Non-elective admissions - Map'!M$5:M$870)</f>
        <v>5876.4041866255457</v>
      </c>
      <c r="J106" s="384">
        <f>SUMIF('9.Non-elective admissions - Map'!$C$5:$C$870,'10.Non-elective admissions -HWB'!$D106,'9.Non-elective admissions - Map'!N$5:N$870)</f>
        <v>5578.8768235607768</v>
      </c>
      <c r="K106" s="384">
        <f>SUMIF('9.Non-elective admissions - Map'!$C$5:$C$870,'10.Non-elective admissions -HWB'!$D106,'9.Non-elective admissions - Map'!O$5:O$870)</f>
        <v>5348.1699224451768</v>
      </c>
      <c r="L106" s="384">
        <f>SUMIF('9.Non-elective admissions - Map'!$C$5:$C$870,'10.Non-elective admissions -HWB'!$D106,'9.Non-elective admissions - Map'!P$5:P$870)</f>
        <v>5448.2416414347572</v>
      </c>
      <c r="M106" s="384">
        <f>SUMIF('9.Non-elective admissions - Map'!$C$5:$C$870,'10.Non-elective admissions -HWB'!$D106,'9.Non-elective admissions - Map'!Q$5:Q$870)</f>
        <v>5647.5002302892926</v>
      </c>
      <c r="N106" s="384">
        <f>SUMIF('9.Non-elective admissions - Map'!$C$5:$C$870,'10.Non-elective admissions -HWB'!$D106,'9.Non-elective admissions - Map'!R$5:R$870)</f>
        <v>5520.0859159415404</v>
      </c>
      <c r="O106" s="384">
        <f>SUMIF('9.Non-elective admissions - Map'!$C$5:$C$870,'10.Non-elective admissions -HWB'!$D106,'9.Non-elective admissions - Map'!S$5:S$870)</f>
        <v>5279.4468557287382</v>
      </c>
      <c r="P106" s="384">
        <f>SUMIF('9.Non-elective admissions - Map'!$C$5:$C$870,'10.Non-elective admissions -HWB'!$D106,'9.Non-elective admissions - Map'!T$5:T$870)</f>
        <v>5387.0703829525146</v>
      </c>
      <c r="Q106" s="384">
        <f>SUMIF('9.Non-elective admissions - Map'!$C$5:$C$870,'10.Non-elective admissions -HWB'!$D106,'9.Non-elective admissions - Map'!U$5:U$870)</f>
        <v>5589.8837885712037</v>
      </c>
    </row>
    <row r="107" spans="1:17">
      <c r="A107" s="380" t="s">
        <v>1201</v>
      </c>
      <c r="B107" s="381" t="s">
        <v>1202</v>
      </c>
      <c r="C107" s="381" t="s">
        <v>1201</v>
      </c>
      <c r="D107" s="381" t="s">
        <v>706</v>
      </c>
      <c r="E107" s="382" t="s">
        <v>231</v>
      </c>
      <c r="F107" s="384">
        <f>SUMIF('9.Non-elective admissions - Map'!$C$5:$C$870,'10.Non-elective admissions -HWB'!$D107,'9.Non-elective admissions - Map'!J$5:J$870)</f>
        <v>6769.9958265382684</v>
      </c>
      <c r="G107" s="384">
        <f>SUMIF('9.Non-elective admissions - Map'!$C$5:$C$870,'10.Non-elective admissions -HWB'!$D107,'9.Non-elective admissions - Map'!K$5:K$870)</f>
        <v>6596.1773316581821</v>
      </c>
      <c r="H107" s="384">
        <f>SUMIF('9.Non-elective admissions - Map'!$C$5:$C$870,'10.Non-elective admissions -HWB'!$D107,'9.Non-elective admissions - Map'!L$5:L$870)</f>
        <v>7092.5357670917638</v>
      </c>
      <c r="I107" s="384">
        <f>SUMIF('9.Non-elective admissions - Map'!$C$5:$C$870,'10.Non-elective admissions -HWB'!$D107,'9.Non-elective admissions - Map'!M$5:M$870)</f>
        <v>7314.8705474270982</v>
      </c>
      <c r="J107" s="384">
        <f>SUMIF('9.Non-elective admissions - Map'!$C$5:$C$870,'10.Non-elective admissions -HWB'!$D107,'9.Non-elective admissions - Map'!N$5:N$870)</f>
        <v>6134.7020805091488</v>
      </c>
      <c r="K107" s="384">
        <f>SUMIF('9.Non-elective admissions - Map'!$C$5:$C$870,'10.Non-elective admissions -HWB'!$D107,'9.Non-elective admissions - Map'!O$5:O$870)</f>
        <v>5931.6719309530135</v>
      </c>
      <c r="L107" s="384">
        <f>SUMIF('9.Non-elective admissions - Map'!$C$5:$C$870,'10.Non-elective admissions -HWB'!$D107,'9.Non-elective admissions - Map'!P$5:P$870)</f>
        <v>6448.1889033154494</v>
      </c>
      <c r="M107" s="384">
        <f>SUMIF('9.Non-elective admissions - Map'!$C$5:$C$870,'10.Non-elective admissions -HWB'!$D107,'9.Non-elective admissions - Map'!Q$5:Q$870)</f>
        <v>6645.2975159704529</v>
      </c>
      <c r="N107" s="384">
        <f>SUMIF('9.Non-elective admissions - Map'!$C$5:$C$870,'10.Non-elective admissions -HWB'!$D107,'9.Non-elective admissions - Map'!R$5:R$870)</f>
        <v>5949.3756350062358</v>
      </c>
      <c r="O107" s="384">
        <f>SUMIF('9.Non-elective admissions - Map'!$C$5:$C$870,'10.Non-elective admissions -HWB'!$D107,'9.Non-elective admissions - Map'!S$5:S$870)</f>
        <v>5734.058237795527</v>
      </c>
      <c r="P107" s="384">
        <f>SUMIF('9.Non-elective admissions - Map'!$C$5:$C$870,'10.Non-elective admissions -HWB'!$D107,'9.Non-elective admissions - Map'!T$5:T$870)</f>
        <v>6277.9973706085384</v>
      </c>
      <c r="Q107" s="384">
        <f>SUMIF('9.Non-elective admissions - Map'!$C$5:$C$870,'10.Non-elective admissions -HWB'!$D107,'9.Non-elective admissions - Map'!U$5:U$870)</f>
        <v>6482.7435948685834</v>
      </c>
    </row>
    <row r="108" spans="1:17">
      <c r="A108" s="380" t="s">
        <v>1201</v>
      </c>
      <c r="B108" s="381" t="s">
        <v>1202</v>
      </c>
      <c r="C108" s="381" t="s">
        <v>1201</v>
      </c>
      <c r="D108" s="381" t="s">
        <v>707</v>
      </c>
      <c r="E108" s="382" t="s">
        <v>234</v>
      </c>
      <c r="F108" s="384">
        <f>SUMIF('9.Non-elective admissions - Map'!$C$5:$C$870,'10.Non-elective admissions -HWB'!$D108,'9.Non-elective admissions - Map'!J$5:J$870)</f>
        <v>5769.0184676772724</v>
      </c>
      <c r="G108" s="384">
        <f>SUMIF('9.Non-elective admissions - Map'!$C$5:$C$870,'10.Non-elective admissions -HWB'!$D108,'9.Non-elective admissions - Map'!K$5:K$870)</f>
        <v>5765.1948346868285</v>
      </c>
      <c r="H108" s="384">
        <f>SUMIF('9.Non-elective admissions - Map'!$C$5:$C$870,'10.Non-elective admissions -HWB'!$D108,'9.Non-elective admissions - Map'!L$5:L$870)</f>
        <v>6157.4248535723955</v>
      </c>
      <c r="I108" s="384">
        <f>SUMIF('9.Non-elective admissions - Map'!$C$5:$C$870,'10.Non-elective admissions -HWB'!$D108,'9.Non-elective admissions - Map'!M$5:M$870)</f>
        <v>6096.2434782834844</v>
      </c>
      <c r="J108" s="384">
        <f>SUMIF('9.Non-elective admissions - Map'!$C$5:$C$870,'10.Non-elective admissions -HWB'!$D108,'9.Non-elective admissions - Map'!N$5:N$870)</f>
        <v>6978.0669727820441</v>
      </c>
      <c r="K108" s="384">
        <f>SUMIF('9.Non-elective admissions - Map'!$C$5:$C$870,'10.Non-elective admissions -HWB'!$D108,'9.Non-elective admissions - Map'!O$5:O$870)</f>
        <v>7014.7008424062296</v>
      </c>
      <c r="L108" s="384">
        <f>SUMIF('9.Non-elective admissions - Map'!$C$5:$C$870,'10.Non-elective admissions -HWB'!$D108,'9.Non-elective admissions - Map'!P$5:P$870)</f>
        <v>7027.6629442918229</v>
      </c>
      <c r="M108" s="384">
        <f>SUMIF('9.Non-elective admissions - Map'!$C$5:$C$870,'10.Non-elective admissions -HWB'!$D108,'9.Non-elective admissions - Map'!Q$5:Q$870)</f>
        <v>6895.7502619527077</v>
      </c>
      <c r="N108" s="384">
        <f>SUMIF('9.Non-elective admissions - Map'!$C$5:$C$870,'10.Non-elective admissions -HWB'!$D108,'9.Non-elective admissions - Map'!R$5:R$870)</f>
        <v>6924.19379079185</v>
      </c>
      <c r="O108" s="384">
        <f>SUMIF('9.Non-elective admissions - Map'!$C$5:$C$870,'10.Non-elective admissions -HWB'!$D108,'9.Non-elective admissions - Map'!S$5:S$870)</f>
        <v>6964.3501374204579</v>
      </c>
      <c r="P108" s="384">
        <f>SUMIF('9.Non-elective admissions - Map'!$C$5:$C$870,'10.Non-elective admissions -HWB'!$D108,'9.Non-elective admissions - Map'!T$5:T$870)</f>
        <v>6976.6144882302306</v>
      </c>
      <c r="Q108" s="384">
        <f>SUMIF('9.Non-elective admissions - Map'!$C$5:$C$870,'10.Non-elective admissions -HWB'!$D108,'9.Non-elective admissions - Map'!U$5:U$870)</f>
        <v>6845.8353677796522</v>
      </c>
    </row>
    <row r="109" spans="1:17">
      <c r="A109" s="380" t="s">
        <v>1201</v>
      </c>
      <c r="B109" s="381" t="s">
        <v>1202</v>
      </c>
      <c r="C109" s="381" t="s">
        <v>1201</v>
      </c>
      <c r="D109" s="381" t="s">
        <v>711</v>
      </c>
      <c r="E109" s="382" t="s">
        <v>248</v>
      </c>
      <c r="F109" s="384">
        <f>SUMIF('9.Non-elective admissions - Map'!$C$5:$C$870,'10.Non-elective admissions -HWB'!$D109,'9.Non-elective admissions - Map'!J$5:J$870)</f>
        <v>3056.8389942735589</v>
      </c>
      <c r="G109" s="384">
        <f>SUMIF('9.Non-elective admissions - Map'!$C$5:$C$870,'10.Non-elective admissions -HWB'!$D109,'9.Non-elective admissions - Map'!K$5:K$870)</f>
        <v>3074.3692864391114</v>
      </c>
      <c r="H109" s="384">
        <f>SUMIF('9.Non-elective admissions - Map'!$C$5:$C$870,'10.Non-elective admissions -HWB'!$D109,'9.Non-elective admissions - Map'!L$5:L$870)</f>
        <v>3055.9966787660014</v>
      </c>
      <c r="I109" s="384">
        <f>SUMIF('9.Non-elective admissions - Map'!$C$5:$C$870,'10.Non-elective admissions -HWB'!$D109,'9.Non-elective admissions - Map'!M$5:M$870)</f>
        <v>2992.7542230968793</v>
      </c>
      <c r="J109" s="384">
        <f>SUMIF('9.Non-elective admissions - Map'!$C$5:$C$870,'10.Non-elective admissions -HWB'!$D109,'9.Non-elective admissions - Map'!N$5:N$870)</f>
        <v>3440.2454797355922</v>
      </c>
      <c r="K109" s="384">
        <f>SUMIF('9.Non-elective admissions - Map'!$C$5:$C$870,'10.Non-elective admissions -HWB'!$D109,'9.Non-elective admissions - Map'!O$5:O$870)</f>
        <v>3438.2275562683822</v>
      </c>
      <c r="L109" s="384">
        <f>SUMIF('9.Non-elective admissions - Map'!$C$5:$C$870,'10.Non-elective admissions -HWB'!$D109,'9.Non-elective admissions - Map'!P$5:P$870)</f>
        <v>3313.6526743273471</v>
      </c>
      <c r="M109" s="384">
        <f>SUMIF('9.Non-elective admissions - Map'!$C$5:$C$870,'10.Non-elective admissions -HWB'!$D109,'9.Non-elective admissions - Map'!Q$5:Q$870)</f>
        <v>3465.9263149959747</v>
      </c>
      <c r="N109" s="384">
        <f>SUMIF('9.Non-elective admissions - Map'!$C$5:$C$870,'10.Non-elective admissions -HWB'!$D109,'9.Non-elective admissions - Map'!R$5:R$870)</f>
        <v>3372.2103176505716</v>
      </c>
      <c r="O109" s="384">
        <f>SUMIF('9.Non-elective admissions - Map'!$C$5:$C$870,'10.Non-elective admissions -HWB'!$D109,'9.Non-elective admissions - Map'!S$5:S$870)</f>
        <v>3369.4182043969604</v>
      </c>
      <c r="P109" s="384">
        <f>SUMIF('9.Non-elective admissions - Map'!$C$5:$C$870,'10.Non-elective admissions -HWB'!$D109,'9.Non-elective admissions - Map'!T$5:T$870)</f>
        <v>3244.3936841169525</v>
      </c>
      <c r="Q109" s="384">
        <f>SUMIF('9.Non-elective admissions - Map'!$C$5:$C$870,'10.Non-elective admissions -HWB'!$D109,'9.Non-elective admissions - Map'!U$5:U$870)</f>
        <v>3399.2558742848009</v>
      </c>
    </row>
    <row r="110" spans="1:17">
      <c r="A110" s="380" t="s">
        <v>1201</v>
      </c>
      <c r="B110" s="381" t="s">
        <v>1202</v>
      </c>
      <c r="C110" s="381" t="s">
        <v>1201</v>
      </c>
      <c r="D110" s="381" t="s">
        <v>792</v>
      </c>
      <c r="E110" s="382" t="s">
        <v>492</v>
      </c>
      <c r="F110" s="384">
        <f>SUMIF('9.Non-elective admissions - Map'!$C$5:$C$870,'10.Non-elective admissions -HWB'!$D110,'9.Non-elective admissions - Map'!J$5:J$870)</f>
        <v>4497.5280259010833</v>
      </c>
      <c r="G110" s="384">
        <f>SUMIF('9.Non-elective admissions - Map'!$C$5:$C$870,'10.Non-elective admissions -HWB'!$D110,'9.Non-elective admissions - Map'!K$5:K$870)</f>
        <v>4270.3453238589491</v>
      </c>
      <c r="H110" s="384">
        <f>SUMIF('9.Non-elective admissions - Map'!$C$5:$C$870,'10.Non-elective admissions -HWB'!$D110,'9.Non-elective admissions - Map'!L$5:L$870)</f>
        <v>4509.0668324170274</v>
      </c>
      <c r="I110" s="384">
        <f>SUMIF('9.Non-elective admissions - Map'!$C$5:$C$870,'10.Non-elective admissions -HWB'!$D110,'9.Non-elective admissions - Map'!M$5:M$870)</f>
        <v>4234.9671317410821</v>
      </c>
      <c r="J110" s="384">
        <f>SUMIF('9.Non-elective admissions - Map'!$C$5:$C$870,'10.Non-elective admissions -HWB'!$D110,'9.Non-elective admissions - Map'!N$5:N$870)</f>
        <v>4794.398142222205</v>
      </c>
      <c r="K110" s="384">
        <f>SUMIF('9.Non-elective admissions - Map'!$C$5:$C$870,'10.Non-elective admissions -HWB'!$D110,'9.Non-elective admissions - Map'!O$5:O$870)</f>
        <v>4717.0885046777494</v>
      </c>
      <c r="L110" s="384">
        <f>SUMIF('9.Non-elective admissions - Map'!$C$5:$C$870,'10.Non-elective admissions -HWB'!$D110,'9.Non-elective admissions - Map'!P$5:P$870)</f>
        <v>4658.0222012645308</v>
      </c>
      <c r="M110" s="384">
        <f>SUMIF('9.Non-elective admissions - Map'!$C$5:$C$870,'10.Non-elective admissions -HWB'!$D110,'9.Non-elective admissions - Map'!Q$5:Q$870)</f>
        <v>4438.5014388683157</v>
      </c>
      <c r="N110" s="384">
        <f>SUMIF('9.Non-elective admissions - Map'!$C$5:$C$870,'10.Non-elective admissions -HWB'!$D110,'9.Non-elective admissions - Map'!R$5:R$870)</f>
        <v>4731.4036033710127</v>
      </c>
      <c r="O110" s="384">
        <f>SUMIF('9.Non-elective admissions - Map'!$C$5:$C$870,'10.Non-elective admissions -HWB'!$D110,'9.Non-elective admissions - Map'!S$5:S$870)</f>
        <v>4649.6041306412426</v>
      </c>
      <c r="P110" s="384">
        <f>SUMIF('9.Non-elective admissions - Map'!$C$5:$C$870,'10.Non-elective admissions -HWB'!$D110,'9.Non-elective admissions - Map'!T$5:T$870)</f>
        <v>4592.2456569824735</v>
      </c>
      <c r="Q110" s="384">
        <f>SUMIF('9.Non-elective admissions - Map'!$C$5:$C$870,'10.Non-elective admissions -HWB'!$D110,'9.Non-elective admissions - Map'!U$5:U$870)</f>
        <v>4369.0872404756428</v>
      </c>
    </row>
    <row r="111" spans="1:17">
      <c r="A111" s="380" t="s">
        <v>1201</v>
      </c>
      <c r="B111" s="381" t="s">
        <v>1202</v>
      </c>
      <c r="C111" s="381" t="s">
        <v>1201</v>
      </c>
      <c r="D111" s="381" t="s">
        <v>655</v>
      </c>
      <c r="E111" s="382" t="s">
        <v>39</v>
      </c>
      <c r="F111" s="384">
        <f>SUMIF('9.Non-elective admissions - Map'!$C$5:$C$870,'10.Non-elective admissions -HWB'!$D111,'9.Non-elective admissions - Map'!J$5:J$870)</f>
        <v>5071.7034704619191</v>
      </c>
      <c r="G111" s="384">
        <f>SUMIF('9.Non-elective admissions - Map'!$C$5:$C$870,'10.Non-elective admissions -HWB'!$D111,'9.Non-elective admissions - Map'!K$5:K$870)</f>
        <v>5139.9321816168358</v>
      </c>
      <c r="H111" s="384">
        <f>SUMIF('9.Non-elective admissions - Map'!$C$5:$C$870,'10.Non-elective admissions -HWB'!$D111,'9.Non-elective admissions - Map'!L$5:L$870)</f>
        <v>5168.0524906594192</v>
      </c>
      <c r="I111" s="384">
        <f>SUMIF('9.Non-elective admissions - Map'!$C$5:$C$870,'10.Non-elective admissions -HWB'!$D111,'9.Non-elective admissions - Map'!M$5:M$870)</f>
        <v>5087.786932047642</v>
      </c>
      <c r="J111" s="384">
        <f>SUMIF('9.Non-elective admissions - Map'!$C$5:$C$870,'10.Non-elective admissions -HWB'!$D111,'9.Non-elective admissions - Map'!N$5:N$870)</f>
        <v>4888.6518297541243</v>
      </c>
      <c r="K111" s="384">
        <f>SUMIF('9.Non-elective admissions - Map'!$C$5:$C$870,'10.Non-elective admissions -HWB'!$D111,'9.Non-elective admissions - Map'!O$5:O$870)</f>
        <v>4924.6350861560322</v>
      </c>
      <c r="L111" s="384">
        <f>SUMIF('9.Non-elective admissions - Map'!$C$5:$C$870,'10.Non-elective admissions -HWB'!$D111,'9.Non-elective admissions - Map'!P$5:P$870)</f>
        <v>4974.377926863187</v>
      </c>
      <c r="M111" s="384">
        <f>SUMIF('9.Non-elective admissions - Map'!$C$5:$C$870,'10.Non-elective admissions -HWB'!$D111,'9.Non-elective admissions - Map'!Q$5:Q$870)</f>
        <v>4795.4812635314402</v>
      </c>
      <c r="N111" s="384">
        <f>SUMIF('9.Non-elective admissions - Map'!$C$5:$C$870,'10.Non-elective admissions -HWB'!$D111,'9.Non-elective admissions - Map'!R$5:R$870)</f>
        <v>4804.1662329011497</v>
      </c>
      <c r="O111" s="384">
        <f>SUMIF('9.Non-elective admissions - Map'!$C$5:$C$870,'10.Non-elective admissions -HWB'!$D111,'9.Non-elective admissions - Map'!S$5:S$870)</f>
        <v>4840.9810741712672</v>
      </c>
      <c r="P111" s="384">
        <f>SUMIF('9.Non-elective admissions - Map'!$C$5:$C$870,'10.Non-elective admissions -HWB'!$D111,'9.Non-elective admissions - Map'!T$5:T$870)</f>
        <v>4887.3398557526498</v>
      </c>
      <c r="Q111" s="384">
        <f>SUMIF('9.Non-elective admissions - Map'!$C$5:$C$870,'10.Non-elective admissions -HWB'!$D111,'9.Non-elective admissions - Map'!U$5:U$870)</f>
        <v>4714.4068715065468</v>
      </c>
    </row>
    <row r="112" spans="1:17">
      <c r="A112" s="380" t="s">
        <v>1201</v>
      </c>
      <c r="B112" s="381" t="s">
        <v>1202</v>
      </c>
      <c r="C112" s="381" t="s">
        <v>1201</v>
      </c>
      <c r="D112" s="381" t="s">
        <v>666</v>
      </c>
      <c r="E112" s="382" t="s">
        <v>83</v>
      </c>
      <c r="F112" s="384">
        <f>SUMIF('9.Non-elective admissions - Map'!$C$5:$C$870,'10.Non-elective admissions -HWB'!$D112,'9.Non-elective admissions - Map'!J$5:J$870)</f>
        <v>6211.4796959773139</v>
      </c>
      <c r="G112" s="384">
        <f>SUMIF('9.Non-elective admissions - Map'!$C$5:$C$870,'10.Non-elective admissions -HWB'!$D112,'9.Non-elective admissions - Map'!K$5:K$870)</f>
        <v>6035.7275413042744</v>
      </c>
      <c r="H112" s="384">
        <f>SUMIF('9.Non-elective admissions - Map'!$C$5:$C$870,'10.Non-elective admissions -HWB'!$D112,'9.Non-elective admissions - Map'!L$5:L$870)</f>
        <v>5804.0433496428805</v>
      </c>
      <c r="I112" s="384">
        <f>SUMIF('9.Non-elective admissions - Map'!$C$5:$C$870,'10.Non-elective admissions -HWB'!$D112,'9.Non-elective admissions - Map'!M$5:M$870)</f>
        <v>5891.4312601648398</v>
      </c>
      <c r="J112" s="384">
        <f>SUMIF('9.Non-elective admissions - Map'!$C$5:$C$870,'10.Non-elective admissions -HWB'!$D112,'9.Non-elective admissions - Map'!N$5:N$870)</f>
        <v>5973.4441352143594</v>
      </c>
      <c r="K112" s="384">
        <f>SUMIF('9.Non-elective admissions - Map'!$C$5:$C$870,'10.Non-elective admissions -HWB'!$D112,'9.Non-elective admissions - Map'!O$5:O$870)</f>
        <v>5804.3327827929043</v>
      </c>
      <c r="L112" s="384">
        <f>SUMIF('9.Non-elective admissions - Map'!$C$5:$C$870,'10.Non-elective admissions -HWB'!$D112,'9.Non-elective admissions - Map'!P$5:P$870)</f>
        <v>5677.0875379284089</v>
      </c>
      <c r="M112" s="384">
        <f>SUMIF('9.Non-elective admissions - Map'!$C$5:$C$870,'10.Non-elective admissions -HWB'!$D112,'9.Non-elective admissions - Map'!Q$5:Q$870)</f>
        <v>5598.1511061718747</v>
      </c>
      <c r="N112" s="384">
        <f>SUMIF('9.Non-elective admissions - Map'!$C$5:$C$870,'10.Non-elective admissions -HWB'!$D112,'9.Non-elective admissions - Map'!R$5:R$870)</f>
        <v>5982.4167462329979</v>
      </c>
      <c r="O112" s="384">
        <f>SUMIF('9.Non-elective admissions - Map'!$C$5:$C$870,'10.Non-elective admissions -HWB'!$D112,'9.Non-elective admissions - Map'!S$5:S$870)</f>
        <v>5811.4943444795335</v>
      </c>
      <c r="P112" s="384">
        <f>SUMIF('9.Non-elective admissions - Map'!$C$5:$C$870,'10.Non-elective admissions -HWB'!$D112,'9.Non-elective admissions - Map'!T$5:T$870)</f>
        <v>5685.0566578954895</v>
      </c>
      <c r="Q112" s="384">
        <f>SUMIF('9.Non-elective admissions - Map'!$C$5:$C$870,'10.Non-elective admissions -HWB'!$D112,'9.Non-elective admissions - Map'!U$5:U$870)</f>
        <v>5606.4537543525566</v>
      </c>
    </row>
    <row r="113" spans="1:17">
      <c r="A113" s="380" t="s">
        <v>1201</v>
      </c>
      <c r="B113" s="381" t="s">
        <v>1202</v>
      </c>
      <c r="C113" s="381" t="s">
        <v>1201</v>
      </c>
      <c r="D113" s="381" t="s">
        <v>679</v>
      </c>
      <c r="E113" s="382" t="s">
        <v>132</v>
      </c>
      <c r="F113" s="384">
        <f>SUMIF('9.Non-elective admissions - Map'!$C$5:$C$870,'10.Non-elective admissions -HWB'!$D113,'9.Non-elective admissions - Map'!J$5:J$870)</f>
        <v>8982.0187409125119</v>
      </c>
      <c r="G113" s="384">
        <f>SUMIF('9.Non-elective admissions - Map'!$C$5:$C$870,'10.Non-elective admissions -HWB'!$D113,'9.Non-elective admissions - Map'!K$5:K$870)</f>
        <v>9157.789670657934</v>
      </c>
      <c r="H113" s="384">
        <f>SUMIF('9.Non-elective admissions - Map'!$C$5:$C$870,'10.Non-elective admissions -HWB'!$D113,'9.Non-elective admissions - Map'!L$5:L$870)</f>
        <v>9215.6606599034931</v>
      </c>
      <c r="I113" s="384">
        <f>SUMIF('9.Non-elective admissions - Map'!$C$5:$C$870,'10.Non-elective admissions -HWB'!$D113,'9.Non-elective admissions - Map'!M$5:M$870)</f>
        <v>9130.4900544882767</v>
      </c>
      <c r="J113" s="384">
        <f>SUMIF('9.Non-elective admissions - Map'!$C$5:$C$870,'10.Non-elective admissions -HWB'!$D113,'9.Non-elective admissions - Map'!N$5:N$870)</f>
        <v>8348.3618016527616</v>
      </c>
      <c r="K113" s="384">
        <f>SUMIF('9.Non-elective admissions - Map'!$C$5:$C$870,'10.Non-elective admissions -HWB'!$D113,'9.Non-elective admissions - Map'!O$5:O$870)</f>
        <v>8516.5309685889661</v>
      </c>
      <c r="L113" s="384">
        <f>SUMIF('9.Non-elective admissions - Map'!$C$5:$C$870,'10.Non-elective admissions -HWB'!$D113,'9.Non-elective admissions - Map'!P$5:P$870)</f>
        <v>8478.4409769807608</v>
      </c>
      <c r="M113" s="384">
        <f>SUMIF('9.Non-elective admissions - Map'!$C$5:$C$870,'10.Non-elective admissions -HWB'!$D113,'9.Non-elective admissions - Map'!Q$5:Q$870)</f>
        <v>8634.2729134599758</v>
      </c>
      <c r="N113" s="384">
        <f>SUMIF('9.Non-elective admissions - Map'!$C$5:$C$870,'10.Non-elective admissions -HWB'!$D113,'9.Non-elective admissions - Map'!R$5:R$870)</f>
        <v>8615.0204124986394</v>
      </c>
      <c r="O113" s="384">
        <f>SUMIF('9.Non-elective admissions - Map'!$C$5:$C$870,'10.Non-elective admissions -HWB'!$D113,'9.Non-elective admissions - Map'!S$5:S$870)</f>
        <v>8788.9577492390581</v>
      </c>
      <c r="P113" s="384">
        <f>SUMIF('9.Non-elective admissions - Map'!$C$5:$C$870,'10.Non-elective admissions -HWB'!$D113,'9.Non-elective admissions - Map'!T$5:T$870)</f>
        <v>8747.9779534032587</v>
      </c>
      <c r="Q113" s="384">
        <f>SUMIF('9.Non-elective admissions - Map'!$C$5:$C$870,'10.Non-elective admissions -HWB'!$D113,'9.Non-elective admissions - Map'!U$5:U$870)</f>
        <v>8909.5318564701283</v>
      </c>
    </row>
    <row r="114" spans="1:17">
      <c r="A114" s="380" t="s">
        <v>1201</v>
      </c>
      <c r="B114" s="381" t="s">
        <v>1202</v>
      </c>
      <c r="C114" s="381" t="s">
        <v>1201</v>
      </c>
      <c r="D114" s="381" t="s">
        <v>695</v>
      </c>
      <c r="E114" s="382" t="s">
        <v>192</v>
      </c>
      <c r="F114" s="384">
        <f>SUMIF('9.Non-elective admissions - Map'!$C$5:$C$870,'10.Non-elective admissions -HWB'!$D114,'9.Non-elective admissions - Map'!J$5:J$870)</f>
        <v>5300.5026881691683</v>
      </c>
      <c r="G114" s="384">
        <f>SUMIF('9.Non-elective admissions - Map'!$C$5:$C$870,'10.Non-elective admissions -HWB'!$D114,'9.Non-elective admissions - Map'!K$5:K$870)</f>
        <v>5231.9853297962909</v>
      </c>
      <c r="H114" s="384">
        <f>SUMIF('9.Non-elective admissions - Map'!$C$5:$C$870,'10.Non-elective admissions -HWB'!$D114,'9.Non-elective admissions - Map'!L$5:L$870)</f>
        <v>5395.7431957118033</v>
      </c>
      <c r="I114" s="384">
        <f>SUMIF('9.Non-elective admissions - Map'!$C$5:$C$870,'10.Non-elective admissions -HWB'!$D114,'9.Non-elective admissions - Map'!M$5:M$870)</f>
        <v>5176.183889837821</v>
      </c>
      <c r="J114" s="384">
        <f>SUMIF('9.Non-elective admissions - Map'!$C$5:$C$870,'10.Non-elective admissions -HWB'!$D114,'9.Non-elective admissions - Map'!N$5:N$870)</f>
        <v>5271.227157109116</v>
      </c>
      <c r="K114" s="384">
        <f>SUMIF('9.Non-elective admissions - Map'!$C$5:$C$870,'10.Non-elective admissions -HWB'!$D114,'9.Non-elective admissions - Map'!O$5:O$870)</f>
        <v>5197.2552415257505</v>
      </c>
      <c r="L114" s="384">
        <f>SUMIF('9.Non-elective admissions - Map'!$C$5:$C$870,'10.Non-elective admissions -HWB'!$D114,'9.Non-elective admissions - Map'!P$5:P$870)</f>
        <v>5437.3181291438732</v>
      </c>
      <c r="M114" s="384">
        <f>SUMIF('9.Non-elective admissions - Map'!$C$5:$C$870,'10.Non-elective admissions -HWB'!$D114,'9.Non-elective admissions - Map'!Q$5:Q$870)</f>
        <v>5058.1764634858637</v>
      </c>
      <c r="N114" s="384">
        <f>SUMIF('9.Non-elective admissions - Map'!$C$5:$C$870,'10.Non-elective admissions -HWB'!$D114,'9.Non-elective admissions - Map'!R$5:R$870)</f>
        <v>5167.5183585119257</v>
      </c>
      <c r="O114" s="384">
        <f>SUMIF('9.Non-elective admissions - Map'!$C$5:$C$870,'10.Non-elective admissions -HWB'!$D114,'9.Non-elective admissions - Map'!S$5:S$870)</f>
        <v>5095.3026852015864</v>
      </c>
      <c r="P114" s="384">
        <f>SUMIF('9.Non-elective admissions - Map'!$C$5:$C$870,'10.Non-elective admissions -HWB'!$D114,'9.Non-elective admissions - Map'!T$5:T$870)</f>
        <v>5329.0745440834689</v>
      </c>
      <c r="Q114" s="384">
        <f>SUMIF('9.Non-elective admissions - Map'!$C$5:$C$870,'10.Non-elective admissions -HWB'!$D114,'9.Non-elective admissions - Map'!U$5:U$870)</f>
        <v>4958.0520815849522</v>
      </c>
    </row>
    <row r="115" spans="1:17">
      <c r="A115" s="380" t="s">
        <v>1201</v>
      </c>
      <c r="B115" s="381" t="s">
        <v>1202</v>
      </c>
      <c r="C115" s="381" t="s">
        <v>1201</v>
      </c>
      <c r="D115" s="381" t="s">
        <v>714</v>
      </c>
      <c r="E115" s="382" t="s">
        <v>258</v>
      </c>
      <c r="F115" s="384">
        <f>SUMIF('9.Non-elective admissions - Map'!$C$5:$C$870,'10.Non-elective admissions -HWB'!$D115,'9.Non-elective admissions - Map'!J$5:J$870)</f>
        <v>2878.6230063040794</v>
      </c>
      <c r="G115" s="384">
        <f>SUMIF('9.Non-elective admissions - Map'!$C$5:$C$870,'10.Non-elective admissions -HWB'!$D115,'9.Non-elective admissions - Map'!K$5:K$870)</f>
        <v>2898.4950524527394</v>
      </c>
      <c r="H115" s="384">
        <f>SUMIF('9.Non-elective admissions - Map'!$C$5:$C$870,'10.Non-elective admissions -HWB'!$D115,'9.Non-elective admissions - Map'!L$5:L$870)</f>
        <v>2847.2013762591123</v>
      </c>
      <c r="I115" s="384">
        <f>SUMIF('9.Non-elective admissions - Map'!$C$5:$C$870,'10.Non-elective admissions -HWB'!$D115,'9.Non-elective admissions - Map'!M$5:M$870)</f>
        <v>2950.9007431466403</v>
      </c>
      <c r="J115" s="384">
        <f>SUMIF('9.Non-elective admissions - Map'!$C$5:$C$870,'10.Non-elective admissions -HWB'!$D115,'9.Non-elective admissions - Map'!N$5:N$870)</f>
        <v>2890.679036716394</v>
      </c>
      <c r="K115" s="384">
        <f>SUMIF('9.Non-elective admissions - Map'!$C$5:$C$870,'10.Non-elective admissions -HWB'!$D115,'9.Non-elective admissions - Map'!O$5:O$870)</f>
        <v>2906.6823341904146</v>
      </c>
      <c r="L115" s="384">
        <f>SUMIF('9.Non-elective admissions - Map'!$C$5:$C$870,'10.Non-elective admissions -HWB'!$D115,'9.Non-elective admissions - Map'!P$5:P$870)</f>
        <v>2848.2353713874195</v>
      </c>
      <c r="M115" s="384">
        <f>SUMIF('9.Non-elective admissions - Map'!$C$5:$C$870,'10.Non-elective admissions -HWB'!$D115,'9.Non-elective admissions - Map'!Q$5:Q$870)</f>
        <v>2969.1605024893165</v>
      </c>
      <c r="N115" s="384">
        <f>SUMIF('9.Non-elective admissions - Map'!$C$5:$C$870,'10.Non-elective admissions -HWB'!$D115,'9.Non-elective admissions - Map'!R$5:R$870)</f>
        <v>2818.4530938170333</v>
      </c>
      <c r="O115" s="384">
        <f>SUMIF('9.Non-elective admissions - Map'!$C$5:$C$870,'10.Non-elective admissions -HWB'!$D115,'9.Non-elective admissions - Map'!S$5:S$870)</f>
        <v>2837.8518177673322</v>
      </c>
      <c r="P115" s="384">
        <f>SUMIF('9.Non-elective admissions - Map'!$C$5:$C$870,'10.Non-elective admissions -HWB'!$D115,'9.Non-elective admissions - Map'!T$5:T$870)</f>
        <v>2780.4244492826779</v>
      </c>
      <c r="Q115" s="384">
        <f>SUMIF('9.Non-elective admissions - Map'!$C$5:$C$870,'10.Non-elective admissions -HWB'!$D115,'9.Non-elective admissions - Map'!U$5:U$870)</f>
        <v>2900.2716824443933</v>
      </c>
    </row>
    <row r="116" spans="1:17">
      <c r="A116" s="380" t="s">
        <v>1201</v>
      </c>
      <c r="B116" s="381" t="s">
        <v>1202</v>
      </c>
      <c r="C116" s="381" t="s">
        <v>1201</v>
      </c>
      <c r="D116" s="381" t="s">
        <v>717</v>
      </c>
      <c r="E116" s="382" t="s">
        <v>267</v>
      </c>
      <c r="F116" s="384">
        <f>SUMIF('9.Non-elective admissions - Map'!$C$5:$C$870,'10.Non-elective admissions -HWB'!$D116,'9.Non-elective admissions - Map'!J$5:J$870)</f>
        <v>6559.6336818528107</v>
      </c>
      <c r="G116" s="384">
        <f>SUMIF('9.Non-elective admissions - Map'!$C$5:$C$870,'10.Non-elective admissions -HWB'!$D116,'9.Non-elective admissions - Map'!K$5:K$870)</f>
        <v>6965.089654358515</v>
      </c>
      <c r="H116" s="384">
        <f>SUMIF('9.Non-elective admissions - Map'!$C$5:$C$870,'10.Non-elective admissions -HWB'!$D116,'9.Non-elective admissions - Map'!L$5:L$870)</f>
        <v>6916.1953754277347</v>
      </c>
      <c r="I116" s="384">
        <f>SUMIF('9.Non-elective admissions - Map'!$C$5:$C$870,'10.Non-elective admissions -HWB'!$D116,'9.Non-elective admissions - Map'!M$5:M$870)</f>
        <v>6707.0969157931395</v>
      </c>
      <c r="J116" s="384">
        <f>SUMIF('9.Non-elective admissions - Map'!$C$5:$C$870,'10.Non-elective admissions -HWB'!$D116,'9.Non-elective admissions - Map'!N$5:N$870)</f>
        <v>6545.852357846903</v>
      </c>
      <c r="K116" s="384">
        <f>SUMIF('9.Non-elective admissions - Map'!$C$5:$C$870,'10.Non-elective admissions -HWB'!$D116,'9.Non-elective admissions - Map'!O$5:O$870)</f>
        <v>6948.5468592423986</v>
      </c>
      <c r="L116" s="384">
        <f>SUMIF('9.Non-elective admissions - Map'!$C$5:$C$870,'10.Non-elective admissions -HWB'!$D116,'9.Non-elective admissions - Map'!P$5:P$870)</f>
        <v>6690.1450377393021</v>
      </c>
      <c r="M116" s="384">
        <f>SUMIF('9.Non-elective admissions - Map'!$C$5:$C$870,'10.Non-elective admissions -HWB'!$D116,'9.Non-elective admissions - Map'!Q$5:Q$870)</f>
        <v>6395.6279566543471</v>
      </c>
      <c r="N116" s="384">
        <f>SUMIF('9.Non-elective admissions - Map'!$C$5:$C$870,'10.Non-elective admissions -HWB'!$D116,'9.Non-elective admissions - Map'!R$5:R$870)</f>
        <v>6524.3918233595286</v>
      </c>
      <c r="O116" s="384">
        <f>SUMIF('9.Non-elective admissions - Map'!$C$5:$C$870,'10.Non-elective admissions -HWB'!$D116,'9.Non-elective admissions - Map'!S$5:S$870)</f>
        <v>6927.1182726255693</v>
      </c>
      <c r="P116" s="384">
        <f>SUMIF('9.Non-elective admissions - Map'!$C$5:$C$870,'10.Non-elective admissions -HWB'!$D116,'9.Non-elective admissions - Map'!T$5:T$870)</f>
        <v>6670.6828809679027</v>
      </c>
      <c r="Q116" s="384">
        <f>SUMIF('9.Non-elective admissions - Map'!$C$5:$C$870,'10.Non-elective admissions -HWB'!$D116,'9.Non-elective admissions - Map'!U$5:U$870)</f>
        <v>6377.1116598487979</v>
      </c>
    </row>
    <row r="117" spans="1:17">
      <c r="A117" s="380" t="s">
        <v>1201</v>
      </c>
      <c r="B117" s="381" t="s">
        <v>1202</v>
      </c>
      <c r="C117" s="381" t="s">
        <v>1201</v>
      </c>
      <c r="D117" s="381" t="s">
        <v>722</v>
      </c>
      <c r="E117" s="382" t="s">
        <v>282</v>
      </c>
      <c r="F117" s="384">
        <f>SUMIF('9.Non-elective admissions - Map'!$C$5:$C$870,'10.Non-elective admissions -HWB'!$D117,'9.Non-elective admissions - Map'!J$5:J$870)</f>
        <v>6046.3418433471506</v>
      </c>
      <c r="G117" s="384">
        <f>SUMIF('9.Non-elective admissions - Map'!$C$5:$C$870,'10.Non-elective admissions -HWB'!$D117,'9.Non-elective admissions - Map'!K$5:K$870)</f>
        <v>6325.9411562746191</v>
      </c>
      <c r="H117" s="384">
        <f>SUMIF('9.Non-elective admissions - Map'!$C$5:$C$870,'10.Non-elective admissions -HWB'!$D117,'9.Non-elective admissions - Map'!L$5:L$870)</f>
        <v>6082.7196932173374</v>
      </c>
      <c r="I117" s="384">
        <f>SUMIF('9.Non-elective admissions - Map'!$C$5:$C$870,'10.Non-elective admissions -HWB'!$D117,'9.Non-elective admissions - Map'!M$5:M$870)</f>
        <v>5876.2289176733648</v>
      </c>
      <c r="J117" s="384">
        <f>SUMIF('9.Non-elective admissions - Map'!$C$5:$C$870,'10.Non-elective admissions -HWB'!$D117,'9.Non-elective admissions - Map'!N$5:N$870)</f>
        <v>6268.7771633236061</v>
      </c>
      <c r="K117" s="384">
        <f>SUMIF('9.Non-elective admissions - Map'!$C$5:$C$870,'10.Non-elective admissions -HWB'!$D117,'9.Non-elective admissions - Map'!O$5:O$870)</f>
        <v>6409.4046906193935</v>
      </c>
      <c r="L117" s="384">
        <f>SUMIF('9.Non-elective admissions - Map'!$C$5:$C$870,'10.Non-elective admissions -HWB'!$D117,'9.Non-elective admissions - Map'!P$5:P$870)</f>
        <v>6347.2835931193731</v>
      </c>
      <c r="M117" s="384">
        <f>SUMIF('9.Non-elective admissions - Map'!$C$5:$C$870,'10.Non-elective admissions -HWB'!$D117,'9.Non-elective admissions - Map'!Q$5:Q$870)</f>
        <v>6186.3062875252999</v>
      </c>
      <c r="N117" s="384">
        <f>SUMIF('9.Non-elective admissions - Map'!$C$5:$C$870,'10.Non-elective admissions -HWB'!$D117,'9.Non-elective admissions - Map'!R$5:R$870)</f>
        <v>6265.2177954158988</v>
      </c>
      <c r="O117" s="384">
        <f>SUMIF('9.Non-elective admissions - Map'!$C$5:$C$870,'10.Non-elective admissions -HWB'!$D117,'9.Non-elective admissions - Map'!S$5:S$870)</f>
        <v>6405.9046958801091</v>
      </c>
      <c r="P117" s="384">
        <f>SUMIF('9.Non-elective admissions - Map'!$C$5:$C$870,'10.Non-elective admissions -HWB'!$D117,'9.Non-elective admissions - Map'!T$5:T$870)</f>
        <v>6343.7113039095802</v>
      </c>
      <c r="Q117" s="384">
        <f>SUMIF('9.Non-elective admissions - Map'!$C$5:$C$870,'10.Non-elective admissions -HWB'!$D117,'9.Non-elective admissions - Map'!U$5:U$870)</f>
        <v>6183.3769393792227</v>
      </c>
    </row>
    <row r="118" spans="1:17">
      <c r="A118" s="380" t="s">
        <v>1201</v>
      </c>
      <c r="B118" s="381" t="s">
        <v>1202</v>
      </c>
      <c r="C118" s="381" t="s">
        <v>1201</v>
      </c>
      <c r="D118" s="381" t="s">
        <v>728</v>
      </c>
      <c r="E118" s="382" t="s">
        <v>300</v>
      </c>
      <c r="F118" s="384">
        <f>SUMIF('9.Non-elective admissions - Map'!$C$5:$C$870,'10.Non-elective admissions -HWB'!$D118,'9.Non-elective admissions - Map'!J$5:J$870)</f>
        <v>4141.3220921626817</v>
      </c>
      <c r="G118" s="384">
        <f>SUMIF('9.Non-elective admissions - Map'!$C$5:$C$870,'10.Non-elective admissions -HWB'!$D118,'9.Non-elective admissions - Map'!K$5:K$870)</f>
        <v>4085.8486002676582</v>
      </c>
      <c r="H118" s="384">
        <f>SUMIF('9.Non-elective admissions - Map'!$C$5:$C$870,'10.Non-elective admissions -HWB'!$D118,'9.Non-elective admissions - Map'!L$5:L$870)</f>
        <v>4439.2124021134096</v>
      </c>
      <c r="I118" s="384">
        <f>SUMIF('9.Non-elective admissions - Map'!$C$5:$C$870,'10.Non-elective admissions -HWB'!$D118,'9.Non-elective admissions - Map'!M$5:M$870)</f>
        <v>4216.1068333712483</v>
      </c>
      <c r="J118" s="384">
        <f>SUMIF('9.Non-elective admissions - Map'!$C$5:$C$870,'10.Non-elective admissions -HWB'!$D118,'9.Non-elective admissions - Map'!N$5:N$870)</f>
        <v>4240.7766655259284</v>
      </c>
      <c r="K118" s="384">
        <f>SUMIF('9.Non-elective admissions - Map'!$C$5:$C$870,'10.Non-elective admissions -HWB'!$D118,'9.Non-elective admissions - Map'!O$5:O$870)</f>
        <v>4219.4088881858634</v>
      </c>
      <c r="L118" s="384">
        <f>SUMIF('9.Non-elective admissions - Map'!$C$5:$C$870,'10.Non-elective admissions -HWB'!$D118,'9.Non-elective admissions - Map'!P$5:P$870)</f>
        <v>4440.6615547893671</v>
      </c>
      <c r="M118" s="384">
        <f>SUMIF('9.Non-elective admissions - Map'!$C$5:$C$870,'10.Non-elective admissions -HWB'!$D118,'9.Non-elective admissions - Map'!Q$5:Q$870)</f>
        <v>4334.5318308539372</v>
      </c>
      <c r="N118" s="384">
        <f>SUMIF('9.Non-elective admissions - Map'!$C$5:$C$870,'10.Non-elective admissions -HWB'!$D118,'9.Non-elective admissions - Map'!R$5:R$870)</f>
        <v>4324.5924221947753</v>
      </c>
      <c r="O118" s="384">
        <f>SUMIF('9.Non-elective admissions - Map'!$C$5:$C$870,'10.Non-elective admissions -HWB'!$D118,'9.Non-elective admissions - Map'!S$5:S$870)</f>
        <v>4302.4023556493385</v>
      </c>
      <c r="P118" s="384">
        <f>SUMIF('9.Non-elective admissions - Map'!$C$5:$C$870,'10.Non-elective admissions -HWB'!$D118,'9.Non-elective admissions - Map'!T$5:T$870)</f>
        <v>4529.6512653204954</v>
      </c>
      <c r="Q118" s="384">
        <f>SUMIF('9.Non-elective admissions - Map'!$C$5:$C$870,'10.Non-elective admissions -HWB'!$D118,'9.Non-elective admissions - Map'!U$5:U$870)</f>
        <v>4419.8259385799156</v>
      </c>
    </row>
    <row r="119" spans="1:17">
      <c r="A119" s="380" t="s">
        <v>1201</v>
      </c>
      <c r="B119" s="381" t="s">
        <v>1202</v>
      </c>
      <c r="C119" s="381" t="s">
        <v>1201</v>
      </c>
      <c r="D119" s="381" t="s">
        <v>751</v>
      </c>
      <c r="E119" s="382" t="s">
        <v>369</v>
      </c>
      <c r="F119" s="384">
        <f>SUMIF('9.Non-elective admissions - Map'!$C$5:$C$870,'10.Non-elective admissions -HWB'!$D119,'9.Non-elective admissions - Map'!J$5:J$870)</f>
        <v>3385.2915988117729</v>
      </c>
      <c r="G119" s="384">
        <f>SUMIF('9.Non-elective admissions - Map'!$C$5:$C$870,'10.Non-elective admissions -HWB'!$D119,'9.Non-elective admissions - Map'!K$5:K$870)</f>
        <v>3271.2216484260634</v>
      </c>
      <c r="H119" s="384">
        <f>SUMIF('9.Non-elective admissions - Map'!$C$5:$C$870,'10.Non-elective admissions -HWB'!$D119,'9.Non-elective admissions - Map'!L$5:L$870)</f>
        <v>3477.542296988915</v>
      </c>
      <c r="I119" s="384">
        <f>SUMIF('9.Non-elective admissions - Map'!$C$5:$C$870,'10.Non-elective admissions -HWB'!$D119,'9.Non-elective admissions - Map'!M$5:M$870)</f>
        <v>3432.0064444750815</v>
      </c>
      <c r="J119" s="384">
        <f>SUMIF('9.Non-elective admissions - Map'!$C$5:$C$870,'10.Non-elective admissions -HWB'!$D119,'9.Non-elective admissions - Map'!N$5:N$870)</f>
        <v>3434.3418489272453</v>
      </c>
      <c r="K119" s="384">
        <f>SUMIF('9.Non-elective admissions - Map'!$C$5:$C$870,'10.Non-elective admissions -HWB'!$D119,'9.Non-elective admissions - Map'!O$5:O$870)</f>
        <v>3321.7886926131564</v>
      </c>
      <c r="L119" s="384">
        <f>SUMIF('9.Non-elective admissions - Map'!$C$5:$C$870,'10.Non-elective admissions -HWB'!$D119,'9.Non-elective admissions - Map'!P$5:P$870)</f>
        <v>3453.9903320467224</v>
      </c>
      <c r="M119" s="384">
        <f>SUMIF('9.Non-elective admissions - Map'!$C$5:$C$870,'10.Non-elective admissions -HWB'!$D119,'9.Non-elective admissions - Map'!Q$5:Q$870)</f>
        <v>3527.6277891498644</v>
      </c>
      <c r="N119" s="384">
        <f>SUMIF('9.Non-elective admissions - Map'!$C$5:$C$870,'10.Non-elective admissions -HWB'!$D119,'9.Non-elective admissions - Map'!R$5:R$870)</f>
        <v>3401.3933637013729</v>
      </c>
      <c r="O119" s="384">
        <f>SUMIF('9.Non-elective admissions - Map'!$C$5:$C$870,'10.Non-elective admissions -HWB'!$D119,'9.Non-elective admissions - Map'!S$5:S$870)</f>
        <v>3285.333703733028</v>
      </c>
      <c r="P119" s="384">
        <f>SUMIF('9.Non-elective admissions - Map'!$C$5:$C$870,'10.Non-elective admissions -HWB'!$D119,'9.Non-elective admissions - Map'!T$5:T$870)</f>
        <v>3419.370849257004</v>
      </c>
      <c r="Q119" s="384">
        <f>SUMIF('9.Non-elective admissions - Map'!$C$5:$C$870,'10.Non-elective admissions -HWB'!$D119,'9.Non-elective admissions - Map'!U$5:U$870)</f>
        <v>3493.9471416966148</v>
      </c>
    </row>
    <row r="120" spans="1:17">
      <c r="A120" s="380" t="s">
        <v>1201</v>
      </c>
      <c r="B120" s="381" t="s">
        <v>1202</v>
      </c>
      <c r="C120" s="381" t="s">
        <v>1201</v>
      </c>
      <c r="D120" s="381" t="s">
        <v>767</v>
      </c>
      <c r="E120" s="382" t="s">
        <v>417</v>
      </c>
      <c r="F120" s="384">
        <f>SUMIF('9.Non-elective admissions - Map'!$C$5:$C$870,'10.Non-elective admissions -HWB'!$D120,'9.Non-elective admissions - Map'!J$5:J$870)</f>
        <v>6412.5961296881424</v>
      </c>
      <c r="G120" s="384">
        <f>SUMIF('9.Non-elective admissions - Map'!$C$5:$C$870,'10.Non-elective admissions -HWB'!$D120,'9.Non-elective admissions - Map'!K$5:K$870)</f>
        <v>6498.7986244435569</v>
      </c>
      <c r="H120" s="384">
        <f>SUMIF('9.Non-elective admissions - Map'!$C$5:$C$870,'10.Non-elective admissions -HWB'!$D120,'9.Non-elective admissions - Map'!L$5:L$870)</f>
        <v>6519.8614017729506</v>
      </c>
      <c r="I120" s="384">
        <f>SUMIF('9.Non-elective admissions - Map'!$C$5:$C$870,'10.Non-elective admissions -HWB'!$D120,'9.Non-elective admissions - Map'!M$5:M$870)</f>
        <v>6148.3265340688986</v>
      </c>
      <c r="J120" s="384">
        <f>SUMIF('9.Non-elective admissions - Map'!$C$5:$C$870,'10.Non-elective admissions -HWB'!$D120,'9.Non-elective admissions - Map'!N$5:N$870)</f>
        <v>6130.4152054084043</v>
      </c>
      <c r="K120" s="384">
        <f>SUMIF('9.Non-elective admissions - Map'!$C$5:$C$870,'10.Non-elective admissions -HWB'!$D120,'9.Non-elective admissions - Map'!O$5:O$870)</f>
        <v>6214.003854909417</v>
      </c>
      <c r="L120" s="384">
        <f>SUMIF('9.Non-elective admissions - Map'!$C$5:$C$870,'10.Non-elective admissions -HWB'!$D120,'9.Non-elective admissions - Map'!P$5:P$870)</f>
        <v>6081.7819410101492</v>
      </c>
      <c r="M120" s="384">
        <f>SUMIF('9.Non-elective admissions - Map'!$C$5:$C$870,'10.Non-elective admissions -HWB'!$D120,'9.Non-elective admissions - Map'!Q$5:Q$870)</f>
        <v>5509.277457379616</v>
      </c>
      <c r="N120" s="384">
        <f>SUMIF('9.Non-elective admissions - Map'!$C$5:$C$870,'10.Non-elective admissions -HWB'!$D120,'9.Non-elective admissions - Map'!R$5:R$870)</f>
        <v>5990.1396916885833</v>
      </c>
      <c r="O120" s="384">
        <f>SUMIF('9.Non-elective admissions - Map'!$C$5:$C$870,'10.Non-elective admissions -HWB'!$D120,'9.Non-elective admissions - Map'!S$5:S$870)</f>
        <v>6073.6402127033416</v>
      </c>
      <c r="P120" s="384">
        <f>SUMIF('9.Non-elective admissions - Map'!$C$5:$C$870,'10.Non-elective admissions -HWB'!$D120,'9.Non-elective admissions - Map'!T$5:T$870)</f>
        <v>5943.4836003197479</v>
      </c>
      <c r="Q120" s="384">
        <f>SUMIF('9.Non-elective admissions - Map'!$C$5:$C$870,'10.Non-elective admissions -HWB'!$D120,'9.Non-elective admissions - Map'!U$5:U$870)</f>
        <v>5385.1364183508967</v>
      </c>
    </row>
    <row r="121" spans="1:17">
      <c r="A121" s="380" t="s">
        <v>1201</v>
      </c>
      <c r="B121" s="381" t="s">
        <v>1202</v>
      </c>
      <c r="C121" s="381" t="s">
        <v>1201</v>
      </c>
      <c r="D121" s="381" t="s">
        <v>776</v>
      </c>
      <c r="E121" s="382" t="s">
        <v>444</v>
      </c>
      <c r="F121" s="384">
        <f>SUMIF('9.Non-elective admissions - Map'!$C$5:$C$870,'10.Non-elective admissions -HWB'!$D121,'9.Non-elective admissions - Map'!J$5:J$870)</f>
        <v>4173.2970548380381</v>
      </c>
      <c r="G121" s="384">
        <f>SUMIF('9.Non-elective admissions - Map'!$C$5:$C$870,'10.Non-elective admissions -HWB'!$D121,'9.Non-elective admissions - Map'!K$5:K$870)</f>
        <v>4225.1415666719204</v>
      </c>
      <c r="H121" s="384">
        <f>SUMIF('9.Non-elective admissions - Map'!$C$5:$C$870,'10.Non-elective admissions -HWB'!$D121,'9.Non-elective admissions - Map'!L$5:L$870)</f>
        <v>4722.542685897678</v>
      </c>
      <c r="I121" s="384">
        <f>SUMIF('9.Non-elective admissions - Map'!$C$5:$C$870,'10.Non-elective admissions -HWB'!$D121,'9.Non-elective admissions - Map'!M$5:M$870)</f>
        <v>4566.3786811292866</v>
      </c>
      <c r="J121" s="384">
        <f>SUMIF('9.Non-elective admissions - Map'!$C$5:$C$870,'10.Non-elective admissions -HWB'!$D121,'9.Non-elective admissions - Map'!N$5:N$870)</f>
        <v>4116.6014730956122</v>
      </c>
      <c r="K121" s="384">
        <f>SUMIF('9.Non-elective admissions - Map'!$C$5:$C$870,'10.Non-elective admissions -HWB'!$D121,'9.Non-elective admissions - Map'!O$5:O$870)</f>
        <v>4164.2924024571976</v>
      </c>
      <c r="L121" s="384">
        <f>SUMIF('9.Non-elective admissions - Map'!$C$5:$C$870,'10.Non-elective admissions -HWB'!$D121,'9.Non-elective admissions - Map'!P$5:P$870)</f>
        <v>4444.1730242082576</v>
      </c>
      <c r="M121" s="384">
        <f>SUMIF('9.Non-elective admissions - Map'!$C$5:$C$870,'10.Non-elective admissions -HWB'!$D121,'9.Non-elective admissions - Map'!Q$5:Q$870)</f>
        <v>4319.8660990034514</v>
      </c>
      <c r="N121" s="384">
        <f>SUMIF('9.Non-elective admissions - Map'!$C$5:$C$870,'10.Non-elective admissions -HWB'!$D121,'9.Non-elective admissions - Map'!R$5:R$870)</f>
        <v>3977.0419491093844</v>
      </c>
      <c r="O121" s="384">
        <f>SUMIF('9.Non-elective admissions - Map'!$C$5:$C$870,'10.Non-elective admissions -HWB'!$D121,'9.Non-elective admissions - Map'!S$5:S$870)</f>
        <v>4031.2036078430133</v>
      </c>
      <c r="P121" s="384">
        <f>SUMIF('9.Non-elective admissions - Map'!$C$5:$C$870,'10.Non-elective admissions -HWB'!$D121,'9.Non-elective admissions - Map'!T$5:T$870)</f>
        <v>4301.2273372297241</v>
      </c>
      <c r="Q121" s="384">
        <f>SUMIF('9.Non-elective admissions - Map'!$C$5:$C$870,'10.Non-elective admissions -HWB'!$D121,'9.Non-elective admissions - Map'!U$5:U$870)</f>
        <v>4180.5630589040093</v>
      </c>
    </row>
    <row r="122" spans="1:17">
      <c r="A122" s="380" t="s">
        <v>1201</v>
      </c>
      <c r="B122" s="381" t="s">
        <v>1202</v>
      </c>
      <c r="C122" s="381" t="s">
        <v>1201</v>
      </c>
      <c r="D122" s="381" t="s">
        <v>787</v>
      </c>
      <c r="E122" s="382" t="s">
        <v>477</v>
      </c>
      <c r="F122" s="384">
        <f>SUMIF('9.Non-elective admissions - Map'!$C$5:$C$870,'10.Non-elective admissions -HWB'!$D122,'9.Non-elective admissions - Map'!J$5:J$870)</f>
        <v>5980.5658261364169</v>
      </c>
      <c r="G122" s="384">
        <f>SUMIF('9.Non-elective admissions - Map'!$C$5:$C$870,'10.Non-elective admissions -HWB'!$D122,'9.Non-elective admissions - Map'!K$5:K$870)</f>
        <v>5980.914398369925</v>
      </c>
      <c r="H122" s="384">
        <f>SUMIF('9.Non-elective admissions - Map'!$C$5:$C$870,'10.Non-elective admissions -HWB'!$D122,'9.Non-elective admissions - Map'!L$5:L$870)</f>
        <v>6040.7337178741654</v>
      </c>
      <c r="I122" s="384">
        <f>SUMIF('9.Non-elective admissions - Map'!$C$5:$C$870,'10.Non-elective admissions -HWB'!$D122,'9.Non-elective admissions - Map'!M$5:M$870)</f>
        <v>5755.5694127997076</v>
      </c>
      <c r="J122" s="384">
        <f>SUMIF('9.Non-elective admissions - Map'!$C$5:$C$870,'10.Non-elective admissions -HWB'!$D122,'9.Non-elective admissions - Map'!N$5:N$870)</f>
        <v>6401.4420132636178</v>
      </c>
      <c r="K122" s="384">
        <f>SUMIF('9.Non-elective admissions - Map'!$C$5:$C$870,'10.Non-elective admissions -HWB'!$D122,'9.Non-elective admissions - Map'!O$5:O$870)</f>
        <v>6380.3417476848736</v>
      </c>
      <c r="L122" s="384">
        <f>SUMIF('9.Non-elective admissions - Map'!$C$5:$C$870,'10.Non-elective admissions -HWB'!$D122,'9.Non-elective admissions - Map'!P$5:P$870)</f>
        <v>6533.0992753378378</v>
      </c>
      <c r="M122" s="384">
        <f>SUMIF('9.Non-elective admissions - Map'!$C$5:$C$870,'10.Non-elective admissions -HWB'!$D122,'9.Non-elective admissions - Map'!Q$5:Q$870)</f>
        <v>6511.397358060859</v>
      </c>
      <c r="N122" s="384">
        <f>SUMIF('9.Non-elective admissions - Map'!$C$5:$C$870,'10.Non-elective admissions -HWB'!$D122,'9.Non-elective admissions - Map'!R$5:R$870)</f>
        <v>6489.7760834904775</v>
      </c>
      <c r="O122" s="384">
        <f>SUMIF('9.Non-elective admissions - Map'!$C$5:$C$870,'10.Non-elective admissions -HWB'!$D122,'9.Non-elective admissions - Map'!S$5:S$870)</f>
        <v>6469.4492941255949</v>
      </c>
      <c r="P122" s="384">
        <f>SUMIF('9.Non-elective admissions - Map'!$C$5:$C$870,'10.Non-elective admissions -HWB'!$D122,'9.Non-elective admissions - Map'!T$5:T$870)</f>
        <v>6625.1899668107108</v>
      </c>
      <c r="Q122" s="384">
        <f>SUMIF('9.Non-elective admissions - Map'!$C$5:$C$870,'10.Non-elective admissions -HWB'!$D122,'9.Non-elective admissions - Map'!U$5:U$870)</f>
        <v>6599.814322443598</v>
      </c>
    </row>
    <row r="123" spans="1:17">
      <c r="A123" s="380" t="s">
        <v>1238</v>
      </c>
      <c r="B123" s="381" t="s">
        <v>903</v>
      </c>
      <c r="C123" s="381" t="s">
        <v>904</v>
      </c>
      <c r="D123" s="381" t="s">
        <v>653</v>
      </c>
      <c r="E123" s="382" t="s">
        <v>29</v>
      </c>
      <c r="F123" s="384">
        <f>SUMIF('9.Non-elective admissions - Map'!$C$5:$C$870,'10.Non-elective admissions -HWB'!$D123,'9.Non-elective admissions - Map'!J$5:J$870)</f>
        <v>3533.6841071754679</v>
      </c>
      <c r="G123" s="384">
        <f>SUMIF('9.Non-elective admissions - Map'!$C$5:$C$870,'10.Non-elective admissions -HWB'!$D123,'9.Non-elective admissions - Map'!K$5:K$870)</f>
        <v>3320.8045660776265</v>
      </c>
      <c r="H123" s="384">
        <f>SUMIF('9.Non-elective admissions - Map'!$C$5:$C$870,'10.Non-elective admissions -HWB'!$D123,'9.Non-elective admissions - Map'!L$5:L$870)</f>
        <v>3479.9000285745192</v>
      </c>
      <c r="I123" s="384">
        <f>SUMIF('9.Non-elective admissions - Map'!$C$5:$C$870,'10.Non-elective admissions -HWB'!$D123,'9.Non-elective admissions - Map'!M$5:M$870)</f>
        <v>3665.3335354109672</v>
      </c>
      <c r="J123" s="384">
        <f>SUMIF('9.Non-elective admissions - Map'!$C$5:$C$870,'10.Non-elective admissions -HWB'!$D123,'9.Non-elective admissions - Map'!N$5:N$870)</f>
        <v>3355.1237303368825</v>
      </c>
      <c r="K123" s="384">
        <f>SUMIF('9.Non-elective admissions - Map'!$C$5:$C$870,'10.Non-elective admissions -HWB'!$D123,'9.Non-elective admissions - Map'!O$5:O$870)</f>
        <v>3140.6573467236694</v>
      </c>
      <c r="L123" s="384">
        <f>SUMIF('9.Non-elective admissions - Map'!$C$5:$C$870,'10.Non-elective admissions -HWB'!$D123,'9.Non-elective admissions - Map'!P$5:P$870)</f>
        <v>3301.8868015666835</v>
      </c>
      <c r="M123" s="384">
        <f>SUMIF('9.Non-elective admissions - Map'!$C$5:$C$870,'10.Non-elective admissions -HWB'!$D123,'9.Non-elective admissions - Map'!Q$5:Q$870)</f>
        <v>3488.188752484697</v>
      </c>
      <c r="N123" s="384">
        <f>SUMIF('9.Non-elective admissions - Map'!$C$5:$C$870,'10.Non-elective admissions -HWB'!$D123,'9.Non-elective admissions - Map'!R$5:R$870)</f>
        <v>3241.9688175959964</v>
      </c>
      <c r="O123" s="384">
        <f>SUMIF('9.Non-elective admissions - Map'!$C$5:$C$870,'10.Non-elective admissions -HWB'!$D123,'9.Non-elective admissions - Map'!S$5:S$870)</f>
        <v>3026.5750201530013</v>
      </c>
      <c r="P123" s="384">
        <f>SUMIF('9.Non-elective admissions - Map'!$C$5:$C$870,'10.Non-elective admissions -HWB'!$D123,'9.Non-elective admissions - Map'!T$5:T$870)</f>
        <v>3185.4576460476919</v>
      </c>
      <c r="Q123" s="384">
        <f>SUMIF('9.Non-elective admissions - Map'!$C$5:$C$870,'10.Non-elective admissions -HWB'!$D123,'9.Non-elective admissions - Map'!U$5:U$870)</f>
        <v>3374.6539809273881</v>
      </c>
    </row>
    <row r="124" spans="1:17">
      <c r="A124" s="380" t="s">
        <v>1238</v>
      </c>
      <c r="B124" s="381" t="s">
        <v>903</v>
      </c>
      <c r="C124" s="381" t="s">
        <v>904</v>
      </c>
      <c r="D124" s="381" t="s">
        <v>694</v>
      </c>
      <c r="E124" s="382" t="s">
        <v>188</v>
      </c>
      <c r="F124" s="384">
        <f>SUMIF('9.Non-elective admissions - Map'!$C$5:$C$870,'10.Non-elective admissions -HWB'!$D124,'9.Non-elective admissions - Map'!J$5:J$870)</f>
        <v>12963.314805497354</v>
      </c>
      <c r="G124" s="384">
        <f>SUMIF('9.Non-elective admissions - Map'!$C$5:$C$870,'10.Non-elective admissions -HWB'!$D124,'9.Non-elective admissions - Map'!K$5:K$870)</f>
        <v>13194.636334069863</v>
      </c>
      <c r="H124" s="384">
        <f>SUMIF('9.Non-elective admissions - Map'!$C$5:$C$870,'10.Non-elective admissions -HWB'!$D124,'9.Non-elective admissions - Map'!L$5:L$870)</f>
        <v>14215.464174379269</v>
      </c>
      <c r="I124" s="384">
        <f>SUMIF('9.Non-elective admissions - Map'!$C$5:$C$870,'10.Non-elective admissions -HWB'!$D124,'9.Non-elective admissions - Map'!M$5:M$870)</f>
        <v>13911.346783900841</v>
      </c>
      <c r="J124" s="384">
        <f>SUMIF('9.Non-elective admissions - Map'!$C$5:$C$870,'10.Non-elective admissions -HWB'!$D124,'9.Non-elective admissions - Map'!N$5:N$870)</f>
        <v>12514.307561164307</v>
      </c>
      <c r="K124" s="384">
        <f>SUMIF('9.Non-elective admissions - Map'!$C$5:$C$870,'10.Non-elective admissions -HWB'!$D124,'9.Non-elective admissions - Map'!O$5:O$870)</f>
        <v>12756.287098729525</v>
      </c>
      <c r="L124" s="384">
        <f>SUMIF('9.Non-elective admissions - Map'!$C$5:$C$870,'10.Non-elective admissions -HWB'!$D124,'9.Non-elective admissions - Map'!P$5:P$870)</f>
        <v>13842.01627004997</v>
      </c>
      <c r="M124" s="384">
        <f>SUMIF('9.Non-elective admissions - Map'!$C$5:$C$870,'10.Non-elective admissions -HWB'!$D124,'9.Non-elective admissions - Map'!Q$5:Q$870)</f>
        <v>13958.942277846854</v>
      </c>
      <c r="N124" s="384">
        <f>SUMIF('9.Non-elective admissions - Map'!$C$5:$C$870,'10.Non-elective admissions -HWB'!$D124,'9.Non-elective admissions - Map'!R$5:R$870)</f>
        <v>12265.563076048731</v>
      </c>
      <c r="O124" s="384">
        <f>SUMIF('9.Non-elective admissions - Map'!$C$5:$C$870,'10.Non-elective admissions -HWB'!$D124,'9.Non-elective admissions - Map'!S$5:S$870)</f>
        <v>12506.868551181456</v>
      </c>
      <c r="P124" s="384">
        <f>SUMIF('9.Non-elective admissions - Map'!$C$5:$C$870,'10.Non-elective admissions -HWB'!$D124,'9.Non-elective admissions - Map'!T$5:T$870)</f>
        <v>13622.014041577442</v>
      </c>
      <c r="Q124" s="384">
        <f>SUMIF('9.Non-elective admissions - Map'!$C$5:$C$870,'10.Non-elective admissions -HWB'!$D124,'9.Non-elective admissions - Map'!U$5:U$870)</f>
        <v>13740.070889738472</v>
      </c>
    </row>
    <row r="125" spans="1:17">
      <c r="A125" s="380" t="s">
        <v>1238</v>
      </c>
      <c r="B125" s="381" t="s">
        <v>903</v>
      </c>
      <c r="C125" s="381" t="s">
        <v>904</v>
      </c>
      <c r="D125" s="381" t="s">
        <v>777</v>
      </c>
      <c r="E125" s="382" t="s">
        <v>447</v>
      </c>
      <c r="F125" s="384">
        <f>SUMIF('9.Non-elective admissions - Map'!$C$5:$C$870,'10.Non-elective admissions -HWB'!$D125,'9.Non-elective admissions - Map'!J$5:J$870)</f>
        <v>4761.5238031105655</v>
      </c>
      <c r="G125" s="384">
        <f>SUMIF('9.Non-elective admissions - Map'!$C$5:$C$870,'10.Non-elective admissions -HWB'!$D125,'9.Non-elective admissions - Map'!K$5:K$870)</f>
        <v>4841.5695112358153</v>
      </c>
      <c r="H125" s="384">
        <f>SUMIF('9.Non-elective admissions - Map'!$C$5:$C$870,'10.Non-elective admissions -HWB'!$D125,'9.Non-elective admissions - Map'!L$5:L$870)</f>
        <v>5560.8730983609521</v>
      </c>
      <c r="I125" s="384">
        <f>SUMIF('9.Non-elective admissions - Map'!$C$5:$C$870,'10.Non-elective admissions -HWB'!$D125,'9.Non-elective admissions - Map'!M$5:M$870)</f>
        <v>5174.520998611134</v>
      </c>
      <c r="J125" s="384">
        <f>SUMIF('9.Non-elective admissions - Map'!$C$5:$C$870,'10.Non-elective admissions -HWB'!$D125,'9.Non-elective admissions - Map'!N$5:N$870)</f>
        <v>4509.6165239408119</v>
      </c>
      <c r="K125" s="384">
        <f>SUMIF('9.Non-elective admissions - Map'!$C$5:$C$870,'10.Non-elective admissions -HWB'!$D125,'9.Non-elective admissions - Map'!O$5:O$870)</f>
        <v>4591.5820424897884</v>
      </c>
      <c r="L125" s="384">
        <f>SUMIF('9.Non-elective admissions - Map'!$C$5:$C$870,'10.Non-elective admissions -HWB'!$D125,'9.Non-elective admissions - Map'!P$5:P$870)</f>
        <v>5333.04719465582</v>
      </c>
      <c r="M125" s="384">
        <f>SUMIF('9.Non-elective admissions - Map'!$C$5:$C$870,'10.Non-elective admissions -HWB'!$D125,'9.Non-elective admissions - Map'!Q$5:Q$870)</f>
        <v>4828.9360802699766</v>
      </c>
      <c r="N125" s="384">
        <f>SUMIF('9.Non-elective admissions - Map'!$C$5:$C$870,'10.Non-elective admissions -HWB'!$D125,'9.Non-elective admissions - Map'!R$5:R$870)</f>
        <v>4248.4644991325331</v>
      </c>
      <c r="O125" s="384">
        <f>SUMIF('9.Non-elective admissions - Map'!$C$5:$C$870,'10.Non-elective admissions -HWB'!$D125,'9.Non-elective admissions - Map'!S$5:S$870)</f>
        <v>4332.3433861692347</v>
      </c>
      <c r="P125" s="384">
        <f>SUMIF('9.Non-elective admissions - Map'!$C$5:$C$870,'10.Non-elective admissions -HWB'!$D125,'9.Non-elective admissions - Map'!T$5:T$870)</f>
        <v>5096.9493343960276</v>
      </c>
      <c r="Q125" s="384">
        <f>SUMIF('9.Non-elective admissions - Map'!$C$5:$C$870,'10.Non-elective admissions -HWB'!$D125,'9.Non-elective admissions - Map'!U$5:U$870)</f>
        <v>4579.2900341320592</v>
      </c>
    </row>
    <row r="126" spans="1:17">
      <c r="A126" s="380" t="s">
        <v>1238</v>
      </c>
      <c r="B126" s="381" t="s">
        <v>903</v>
      </c>
      <c r="C126" s="381" t="s">
        <v>904</v>
      </c>
      <c r="D126" s="381" t="s">
        <v>794</v>
      </c>
      <c r="E126" s="382" t="s">
        <v>498</v>
      </c>
      <c r="F126" s="384">
        <f>SUMIF('9.Non-elective admissions - Map'!$C$5:$C$870,'10.Non-elective admissions -HWB'!$D126,'9.Non-elective admissions - Map'!J$5:J$870)</f>
        <v>9504.2241123918484</v>
      </c>
      <c r="G126" s="384">
        <f>SUMIF('9.Non-elective admissions - Map'!$C$5:$C$870,'10.Non-elective admissions -HWB'!$D126,'9.Non-elective admissions - Map'!K$5:K$870)</f>
        <v>9627.5557909923136</v>
      </c>
      <c r="H126" s="384">
        <f>SUMIF('9.Non-elective admissions - Map'!$C$5:$C$870,'10.Non-elective admissions -HWB'!$D126,'9.Non-elective admissions - Map'!L$5:L$870)</f>
        <v>9985.6981714883041</v>
      </c>
      <c r="I126" s="384">
        <f>SUMIF('9.Non-elective admissions - Map'!$C$5:$C$870,'10.Non-elective admissions -HWB'!$D126,'9.Non-elective admissions - Map'!M$5:M$870)</f>
        <v>10158.279863975369</v>
      </c>
      <c r="J126" s="384">
        <f>SUMIF('9.Non-elective admissions - Map'!$C$5:$C$870,'10.Non-elective admissions -HWB'!$D126,'9.Non-elective admissions - Map'!N$5:N$870)</f>
        <v>9262.9647288204633</v>
      </c>
      <c r="K126" s="384">
        <f>SUMIF('9.Non-elective admissions - Map'!$C$5:$C$870,'10.Non-elective admissions -HWB'!$D126,'9.Non-elective admissions - Map'!O$5:O$870)</f>
        <v>9385.8621085858886</v>
      </c>
      <c r="L126" s="384">
        <f>SUMIF('9.Non-elective admissions - Map'!$C$5:$C$870,'10.Non-elective admissions -HWB'!$D126,'9.Non-elective admissions - Map'!P$5:P$870)</f>
        <v>9735.7084556778191</v>
      </c>
      <c r="M126" s="384">
        <f>SUMIF('9.Non-elective admissions - Map'!$C$5:$C$870,'10.Non-elective admissions -HWB'!$D126,'9.Non-elective admissions - Map'!Q$5:Q$870)</f>
        <v>9777.2062943567871</v>
      </c>
      <c r="N126" s="384">
        <f>SUMIF('9.Non-elective admissions - Map'!$C$5:$C$870,'10.Non-elective admissions -HWB'!$D126,'9.Non-elective admissions - Map'!R$5:R$870)</f>
        <v>9077.3649129507921</v>
      </c>
      <c r="O126" s="384">
        <f>SUMIF('9.Non-elective admissions - Map'!$C$5:$C$870,'10.Non-elective admissions -HWB'!$D126,'9.Non-elective admissions - Map'!S$5:S$870)</f>
        <v>9196.1749898178841</v>
      </c>
      <c r="P126" s="384">
        <f>SUMIF('9.Non-elective admissions - Map'!$C$5:$C$870,'10.Non-elective admissions -HWB'!$D126,'9.Non-elective admissions - Map'!T$5:T$870)</f>
        <v>9537.8271688587665</v>
      </c>
      <c r="Q126" s="384">
        <f>SUMIF('9.Non-elective admissions - Map'!$C$5:$C$870,'10.Non-elective admissions -HWB'!$D126,'9.Non-elective admissions - Map'!U$5:U$870)</f>
        <v>9575.4650796001224</v>
      </c>
    </row>
    <row r="127" spans="1:17">
      <c r="A127" s="380" t="s">
        <v>1238</v>
      </c>
      <c r="B127" s="381" t="s">
        <v>926</v>
      </c>
      <c r="C127" s="381" t="s">
        <v>927</v>
      </c>
      <c r="D127" s="381" t="s">
        <v>665</v>
      </c>
      <c r="E127" s="382" t="s">
        <v>79</v>
      </c>
      <c r="F127" s="384">
        <f>SUMIF('9.Non-elective admissions - Map'!$C$5:$C$870,'10.Non-elective admissions -HWB'!$D127,'9.Non-elective admissions - Map'!J$5:J$870)</f>
        <v>9186.3687099020717</v>
      </c>
      <c r="G127" s="384">
        <f>SUMIF('9.Non-elective admissions - Map'!$C$5:$C$870,'10.Non-elective admissions -HWB'!$D127,'9.Non-elective admissions - Map'!K$5:K$870)</f>
        <v>9462.1198105739331</v>
      </c>
      <c r="H127" s="384">
        <f>SUMIF('9.Non-elective admissions - Map'!$C$5:$C$870,'10.Non-elective admissions -HWB'!$D127,'9.Non-elective admissions - Map'!L$5:L$870)</f>
        <v>9622.3738862852897</v>
      </c>
      <c r="I127" s="384">
        <f>SUMIF('9.Non-elective admissions - Map'!$C$5:$C$870,'10.Non-elective admissions -HWB'!$D127,'9.Non-elective admissions - Map'!M$5:M$870)</f>
        <v>9377.9769932052004</v>
      </c>
      <c r="J127" s="384">
        <f>SUMIF('9.Non-elective admissions - Map'!$C$5:$C$870,'10.Non-elective admissions -HWB'!$D127,'9.Non-elective admissions - Map'!N$5:N$870)</f>
        <v>9241.748726560003</v>
      </c>
      <c r="K127" s="384">
        <f>SUMIF('9.Non-elective admissions - Map'!$C$5:$C$870,'10.Non-elective admissions -HWB'!$D127,'9.Non-elective admissions - Map'!O$5:O$870)</f>
        <v>9843.5504957425037</v>
      </c>
      <c r="L127" s="384">
        <f>SUMIF('9.Non-elective admissions - Map'!$C$5:$C$870,'10.Non-elective admissions -HWB'!$D127,'9.Non-elective admissions - Map'!P$5:P$870)</f>
        <v>9695.0143318799601</v>
      </c>
      <c r="M127" s="384">
        <f>SUMIF('9.Non-elective admissions - Map'!$C$5:$C$870,'10.Non-elective admissions -HWB'!$D127,'9.Non-elective admissions - Map'!Q$5:Q$870)</f>
        <v>9693.9484192140117</v>
      </c>
      <c r="N127" s="384">
        <f>SUMIF('9.Non-elective admissions - Map'!$C$5:$C$870,'10.Non-elective admissions -HWB'!$D127,'9.Non-elective admissions - Map'!R$5:R$870)</f>
        <v>9571.5419017914282</v>
      </c>
      <c r="O127" s="384">
        <f>SUMIF('9.Non-elective admissions - Map'!$C$5:$C$870,'10.Non-elective admissions -HWB'!$D127,'9.Non-elective admissions - Map'!S$5:S$870)</f>
        <v>9868.0733356201636</v>
      </c>
      <c r="P127" s="384">
        <f>SUMIF('9.Non-elective admissions - Map'!$C$5:$C$870,'10.Non-elective admissions -HWB'!$D127,'9.Non-elective admissions - Map'!T$5:T$870)</f>
        <v>9571.7376264223421</v>
      </c>
      <c r="Q127" s="384">
        <f>SUMIF('9.Non-elective admissions - Map'!$C$5:$C$870,'10.Non-elective admissions -HWB'!$D127,'9.Non-elective admissions - Map'!U$5:U$870)</f>
        <v>9274.1011350271474</v>
      </c>
    </row>
    <row r="128" spans="1:17">
      <c r="A128" s="380" t="s">
        <v>1238</v>
      </c>
      <c r="B128" s="381" t="s">
        <v>926</v>
      </c>
      <c r="C128" s="381" t="s">
        <v>927</v>
      </c>
      <c r="D128" s="381" t="s">
        <v>736</v>
      </c>
      <c r="E128" s="382" t="s">
        <v>324</v>
      </c>
      <c r="F128" s="384">
        <f>SUMIF('9.Non-elective admissions - Map'!$C$5:$C$870,'10.Non-elective admissions -HWB'!$D128,'9.Non-elective admissions - Map'!J$5:J$870)</f>
        <v>4667.2863611445127</v>
      </c>
      <c r="G128" s="384">
        <f>SUMIF('9.Non-elective admissions - Map'!$C$5:$C$870,'10.Non-elective admissions -HWB'!$D128,'9.Non-elective admissions - Map'!K$5:K$870)</f>
        <v>4943.6869545447689</v>
      </c>
      <c r="H128" s="384">
        <f>SUMIF('9.Non-elective admissions - Map'!$C$5:$C$870,'10.Non-elective admissions -HWB'!$D128,'9.Non-elective admissions - Map'!L$5:L$870)</f>
        <v>5053.9804675248679</v>
      </c>
      <c r="I128" s="384">
        <f>SUMIF('9.Non-elective admissions - Map'!$C$5:$C$870,'10.Non-elective admissions -HWB'!$D128,'9.Non-elective admissions - Map'!M$5:M$870)</f>
        <v>5267.7669891792857</v>
      </c>
      <c r="J128" s="384">
        <f>SUMIF('9.Non-elective admissions - Map'!$C$5:$C$870,'10.Non-elective admissions -HWB'!$D128,'9.Non-elective admissions - Map'!N$5:N$870)</f>
        <v>4776.1460022508982</v>
      </c>
      <c r="K128" s="384">
        <f>SUMIF('9.Non-elective admissions - Map'!$C$5:$C$870,'10.Non-elective admissions -HWB'!$D128,'9.Non-elective admissions - Map'!O$5:O$870)</f>
        <v>5082.0789311299359</v>
      </c>
      <c r="L128" s="384">
        <f>SUMIF('9.Non-elective admissions - Map'!$C$5:$C$870,'10.Non-elective admissions -HWB'!$D128,'9.Non-elective admissions - Map'!P$5:P$870)</f>
        <v>5007.2521301017514</v>
      </c>
      <c r="M128" s="384">
        <f>SUMIF('9.Non-elective admissions - Map'!$C$5:$C$870,'10.Non-elective admissions -HWB'!$D128,'9.Non-elective admissions - Map'!Q$5:Q$870)</f>
        <v>5012.5926855551461</v>
      </c>
      <c r="N128" s="384">
        <f>SUMIF('9.Non-elective admissions - Map'!$C$5:$C$870,'10.Non-elective admissions -HWB'!$D128,'9.Non-elective admissions - Map'!R$5:R$870)</f>
        <v>4677.8157705170997</v>
      </c>
      <c r="O128" s="384">
        <f>SUMIF('9.Non-elective admissions - Map'!$C$5:$C$870,'10.Non-elective admissions -HWB'!$D128,'9.Non-elective admissions - Map'!S$5:S$870)</f>
        <v>4818.4213352568422</v>
      </c>
      <c r="P128" s="384">
        <f>SUMIF('9.Non-elective admissions - Map'!$C$5:$C$870,'10.Non-elective admissions -HWB'!$D128,'9.Non-elective admissions - Map'!T$5:T$870)</f>
        <v>4676.7687352409675</v>
      </c>
      <c r="Q128" s="384">
        <f>SUMIF('9.Non-elective admissions - Map'!$C$5:$C$870,'10.Non-elective admissions -HWB'!$D128,'9.Non-elective admissions - Map'!U$5:U$870)</f>
        <v>4536.6959100366157</v>
      </c>
    </row>
    <row r="129" spans="1:17">
      <c r="A129" s="380" t="s">
        <v>1238</v>
      </c>
      <c r="B129" s="381" t="s">
        <v>926</v>
      </c>
      <c r="C129" s="381" t="s">
        <v>927</v>
      </c>
      <c r="D129" s="381" t="s">
        <v>762</v>
      </c>
      <c r="E129" s="382" t="s">
        <v>402</v>
      </c>
      <c r="F129" s="384">
        <f>SUMIF('9.Non-elective admissions - Map'!$C$5:$C$870,'10.Non-elective admissions -HWB'!$D129,'9.Non-elective admissions - Map'!J$5:J$870)</f>
        <v>14488.625467996089</v>
      </c>
      <c r="G129" s="384">
        <f>SUMIF('9.Non-elective admissions - Map'!$C$5:$C$870,'10.Non-elective admissions -HWB'!$D129,'9.Non-elective admissions - Map'!K$5:K$870)</f>
        <v>14861.806781885783</v>
      </c>
      <c r="H129" s="384">
        <f>SUMIF('9.Non-elective admissions - Map'!$C$5:$C$870,'10.Non-elective admissions -HWB'!$D129,'9.Non-elective admissions - Map'!L$5:L$870)</f>
        <v>14440.30837849518</v>
      </c>
      <c r="I129" s="384">
        <f>SUMIF('9.Non-elective admissions - Map'!$C$5:$C$870,'10.Non-elective admissions -HWB'!$D129,'9.Non-elective admissions - Map'!M$5:M$870)</f>
        <v>14780.499493685489</v>
      </c>
      <c r="J129" s="384">
        <f>SUMIF('9.Non-elective admissions - Map'!$C$5:$C$870,'10.Non-elective admissions -HWB'!$D129,'9.Non-elective admissions - Map'!N$5:N$870)</f>
        <v>16702.137862794985</v>
      </c>
      <c r="K129" s="384">
        <f>SUMIF('9.Non-elective admissions - Map'!$C$5:$C$870,'10.Non-elective admissions -HWB'!$D129,'9.Non-elective admissions - Map'!O$5:O$870)</f>
        <v>16713.878478981223</v>
      </c>
      <c r="L129" s="384">
        <f>SUMIF('9.Non-elective admissions - Map'!$C$5:$C$870,'10.Non-elective admissions -HWB'!$D129,'9.Non-elective admissions - Map'!P$5:P$870)</f>
        <v>17427.681232360119</v>
      </c>
      <c r="M129" s="384">
        <f>SUMIF('9.Non-elective admissions - Map'!$C$5:$C$870,'10.Non-elective admissions -HWB'!$D129,'9.Non-elective admissions - Map'!Q$5:Q$870)</f>
        <v>16877.107798768509</v>
      </c>
      <c r="N129" s="384">
        <f>SUMIF('9.Non-elective admissions - Map'!$C$5:$C$870,'10.Non-elective admissions -HWB'!$D129,'9.Non-elective admissions - Map'!R$5:R$870)</f>
        <v>16656.136432506981</v>
      </c>
      <c r="O129" s="384">
        <f>SUMIF('9.Non-elective admissions - Map'!$C$5:$C$870,'10.Non-elective admissions -HWB'!$D129,'9.Non-elective admissions - Map'!S$5:S$870)</f>
        <v>16667.374659818146</v>
      </c>
      <c r="P129" s="384">
        <f>SUMIF('9.Non-elective admissions - Map'!$C$5:$C$870,'10.Non-elective admissions -HWB'!$D129,'9.Non-elective admissions - Map'!T$5:T$870)</f>
        <v>17376.508147144588</v>
      </c>
      <c r="Q129" s="384">
        <f>SUMIF('9.Non-elective admissions - Map'!$C$5:$C$870,'10.Non-elective admissions -HWB'!$D129,'9.Non-elective admissions - Map'!U$5:U$870)</f>
        <v>16842.095605431507</v>
      </c>
    </row>
    <row r="130" spans="1:17">
      <c r="A130" s="380" t="s">
        <v>1238</v>
      </c>
      <c r="B130" s="381" t="s">
        <v>926</v>
      </c>
      <c r="C130" s="381" t="s">
        <v>927</v>
      </c>
      <c r="D130" s="381" t="s">
        <v>763</v>
      </c>
      <c r="E130" s="382" t="s">
        <v>405</v>
      </c>
      <c r="F130" s="384">
        <f>SUMIF('9.Non-elective admissions - Map'!$C$5:$C$870,'10.Non-elective admissions -HWB'!$D130,'9.Non-elective admissions - Map'!J$5:J$870)</f>
        <v>5056.695561905166</v>
      </c>
      <c r="G130" s="384">
        <f>SUMIF('9.Non-elective admissions - Map'!$C$5:$C$870,'10.Non-elective admissions -HWB'!$D130,'9.Non-elective admissions - Map'!K$5:K$870)</f>
        <v>5018.8441059108454</v>
      </c>
      <c r="H130" s="384">
        <f>SUMIF('9.Non-elective admissions - Map'!$C$5:$C$870,'10.Non-elective admissions -HWB'!$D130,'9.Non-elective admissions - Map'!L$5:L$870)</f>
        <v>5333.4117439244146</v>
      </c>
      <c r="I130" s="384">
        <f>SUMIF('9.Non-elective admissions - Map'!$C$5:$C$870,'10.Non-elective admissions -HWB'!$D130,'9.Non-elective admissions - Map'!M$5:M$870)</f>
        <v>5534.0186475207656</v>
      </c>
      <c r="J130" s="384">
        <f>SUMIF('9.Non-elective admissions - Map'!$C$5:$C$870,'10.Non-elective admissions -HWB'!$D130,'9.Non-elective admissions - Map'!N$5:N$870)</f>
        <v>5201.1002337987438</v>
      </c>
      <c r="K130" s="384">
        <f>SUMIF('9.Non-elective admissions - Map'!$C$5:$C$870,'10.Non-elective admissions -HWB'!$D130,'9.Non-elective admissions - Map'!O$5:O$870)</f>
        <v>5520.5608612643646</v>
      </c>
      <c r="L130" s="384">
        <f>SUMIF('9.Non-elective admissions - Map'!$C$5:$C$870,'10.Non-elective admissions -HWB'!$D130,'9.Non-elective admissions - Map'!P$5:P$870)</f>
        <v>5457.1467486188303</v>
      </c>
      <c r="M130" s="384">
        <f>SUMIF('9.Non-elective admissions - Map'!$C$5:$C$870,'10.Non-elective admissions -HWB'!$D130,'9.Non-elective admissions - Map'!Q$5:Q$870)</f>
        <v>5456.2969951400337</v>
      </c>
      <c r="N130" s="384">
        <f>SUMIF('9.Non-elective admissions - Map'!$C$5:$C$870,'10.Non-elective admissions -HWB'!$D130,'9.Non-elective admissions - Map'!R$5:R$870)</f>
        <v>5371.5507325268118</v>
      </c>
      <c r="O130" s="384">
        <f>SUMIF('9.Non-elective admissions - Map'!$C$5:$C$870,'10.Non-elective admissions -HWB'!$D130,'9.Non-elective admissions - Map'!S$5:S$870)</f>
        <v>5528.5944752998148</v>
      </c>
      <c r="P130" s="384">
        <f>SUMIF('9.Non-elective admissions - Map'!$C$5:$C$870,'10.Non-elective admissions -HWB'!$D130,'9.Non-elective admissions - Map'!T$5:T$870)</f>
        <v>5387.4266081221358</v>
      </c>
      <c r="Q130" s="384">
        <f>SUMIF('9.Non-elective admissions - Map'!$C$5:$C$870,'10.Non-elective admissions -HWB'!$D130,'9.Non-elective admissions - Map'!U$5:U$870)</f>
        <v>5229.5580410370367</v>
      </c>
    </row>
    <row r="131" spans="1:17">
      <c r="A131" s="380" t="s">
        <v>1238</v>
      </c>
      <c r="B131" s="381" t="s">
        <v>933</v>
      </c>
      <c r="C131" s="381" t="s">
        <v>934</v>
      </c>
      <c r="D131" s="381" t="s">
        <v>676</v>
      </c>
      <c r="E131" s="382" t="s">
        <v>121</v>
      </c>
      <c r="F131" s="384">
        <f>SUMIF('9.Non-elective admissions - Map'!$C$5:$C$870,'10.Non-elective admissions -HWB'!$D131,'9.Non-elective admissions - Map'!J$5:J$870)</f>
        <v>13079.438546922895</v>
      </c>
      <c r="G131" s="384">
        <f>SUMIF('9.Non-elective admissions - Map'!$C$5:$C$870,'10.Non-elective admissions -HWB'!$D131,'9.Non-elective admissions - Map'!K$5:K$870)</f>
        <v>12818.594694652196</v>
      </c>
      <c r="H131" s="384">
        <f>SUMIF('9.Non-elective admissions - Map'!$C$5:$C$870,'10.Non-elective admissions -HWB'!$D131,'9.Non-elective admissions - Map'!L$5:L$870)</f>
        <v>13801.926015938174</v>
      </c>
      <c r="I131" s="384">
        <f>SUMIF('9.Non-elective admissions - Map'!$C$5:$C$870,'10.Non-elective admissions -HWB'!$D131,'9.Non-elective admissions - Map'!M$5:M$870)</f>
        <v>13635.74931222279</v>
      </c>
      <c r="J131" s="384">
        <f>SUMIF('9.Non-elective admissions - Map'!$C$5:$C$870,'10.Non-elective admissions -HWB'!$D131,'9.Non-elective admissions - Map'!N$5:N$870)</f>
        <v>11482.229852219414</v>
      </c>
      <c r="K131" s="384">
        <f>SUMIF('9.Non-elective admissions - Map'!$C$5:$C$870,'10.Non-elective admissions -HWB'!$D131,'9.Non-elective admissions - Map'!O$5:O$870)</f>
        <v>11428.516896912626</v>
      </c>
      <c r="L131" s="384">
        <f>SUMIF('9.Non-elective admissions - Map'!$C$5:$C$870,'10.Non-elective admissions -HWB'!$D131,'9.Non-elective admissions - Map'!P$5:P$870)</f>
        <v>11967.093432544445</v>
      </c>
      <c r="M131" s="384">
        <f>SUMIF('9.Non-elective admissions - Map'!$C$5:$C$870,'10.Non-elective admissions -HWB'!$D131,'9.Non-elective admissions - Map'!Q$5:Q$870)</f>
        <v>11862.056718202892</v>
      </c>
      <c r="N131" s="384">
        <f>SUMIF('9.Non-elective admissions - Map'!$C$5:$C$870,'10.Non-elective admissions -HWB'!$D131,'9.Non-elective admissions - Map'!R$5:R$870)</f>
        <v>10190.931286963189</v>
      </c>
      <c r="O131" s="384">
        <f>SUMIF('9.Non-elective admissions - Map'!$C$5:$C$870,'10.Non-elective admissions -HWB'!$D131,'9.Non-elective admissions - Map'!S$5:S$870)</f>
        <v>10153.12808154714</v>
      </c>
      <c r="P131" s="384">
        <f>SUMIF('9.Non-elective admissions - Map'!$C$5:$C$870,'10.Non-elective admissions -HWB'!$D131,'9.Non-elective admissions - Map'!T$5:T$870)</f>
        <v>10647.025073145356</v>
      </c>
      <c r="Q131" s="384">
        <f>SUMIF('9.Non-elective admissions - Map'!$C$5:$C$870,'10.Non-elective admissions -HWB'!$D131,'9.Non-elective admissions - Map'!U$5:U$870)</f>
        <v>10519.603736814721</v>
      </c>
    </row>
    <row r="132" spans="1:17">
      <c r="A132" s="380" t="s">
        <v>1238</v>
      </c>
      <c r="B132" s="381" t="s">
        <v>933</v>
      </c>
      <c r="C132" s="381" t="s">
        <v>934</v>
      </c>
      <c r="D132" s="381" t="s">
        <v>684</v>
      </c>
      <c r="E132" s="382" t="s">
        <v>150</v>
      </c>
      <c r="F132" s="384">
        <f>SUMIF('9.Non-elective admissions - Map'!$C$5:$C$870,'10.Non-elective admissions -HWB'!$D132,'9.Non-elective admissions - Map'!J$5:J$870)</f>
        <v>19646.085083059479</v>
      </c>
      <c r="G132" s="384">
        <f>SUMIF('9.Non-elective admissions - Map'!$C$5:$C$870,'10.Non-elective admissions -HWB'!$D132,'9.Non-elective admissions - Map'!K$5:K$870)</f>
        <v>20799.860581126395</v>
      </c>
      <c r="H132" s="384">
        <f>SUMIF('9.Non-elective admissions - Map'!$C$5:$C$870,'10.Non-elective admissions -HWB'!$D132,'9.Non-elective admissions - Map'!L$5:L$870)</f>
        <v>20865.674436086287</v>
      </c>
      <c r="I132" s="384">
        <f>SUMIF('9.Non-elective admissions - Map'!$C$5:$C$870,'10.Non-elective admissions -HWB'!$D132,'9.Non-elective admissions - Map'!M$5:M$870)</f>
        <v>20415.068881085717</v>
      </c>
      <c r="J132" s="384">
        <f>SUMIF('9.Non-elective admissions - Map'!$C$5:$C$870,'10.Non-elective admissions -HWB'!$D132,'9.Non-elective admissions - Map'!N$5:N$870)</f>
        <v>19342.757450164674</v>
      </c>
      <c r="K132" s="384">
        <f>SUMIF('9.Non-elective admissions - Map'!$C$5:$C$870,'10.Non-elective admissions -HWB'!$D132,'9.Non-elective admissions - Map'!O$5:O$870)</f>
        <v>19821.774660952266</v>
      </c>
      <c r="L132" s="384">
        <f>SUMIF('9.Non-elective admissions - Map'!$C$5:$C$870,'10.Non-elective admissions -HWB'!$D132,'9.Non-elective admissions - Map'!P$5:P$870)</f>
        <v>20080.341261953727</v>
      </c>
      <c r="M132" s="384">
        <f>SUMIF('9.Non-elective admissions - Map'!$C$5:$C$870,'10.Non-elective admissions -HWB'!$D132,'9.Non-elective admissions - Map'!Q$5:Q$870)</f>
        <v>19785.091257552936</v>
      </c>
      <c r="N132" s="384">
        <f>SUMIF('9.Non-elective admissions - Map'!$C$5:$C$870,'10.Non-elective admissions -HWB'!$D132,'9.Non-elective admissions - Map'!R$5:R$870)</f>
        <v>19531.881606045517</v>
      </c>
      <c r="O132" s="384">
        <f>SUMIF('9.Non-elective admissions - Map'!$C$5:$C$870,'10.Non-elective admissions -HWB'!$D132,'9.Non-elective admissions - Map'!S$5:S$870)</f>
        <v>20015.621323814175</v>
      </c>
      <c r="P132" s="384">
        <f>SUMIF('9.Non-elective admissions - Map'!$C$5:$C$870,'10.Non-elective admissions -HWB'!$D132,'9.Non-elective admissions - Map'!T$5:T$870)</f>
        <v>20278.132337034713</v>
      </c>
      <c r="Q132" s="384">
        <f>SUMIF('9.Non-elective admissions - Map'!$C$5:$C$870,'10.Non-elective admissions -HWB'!$D132,'9.Non-elective admissions - Map'!U$5:U$870)</f>
        <v>19870.159272235047</v>
      </c>
    </row>
    <row r="133" spans="1:17">
      <c r="A133" s="380" t="s">
        <v>1238</v>
      </c>
      <c r="B133" s="381" t="s">
        <v>933</v>
      </c>
      <c r="C133" s="381" t="s">
        <v>934</v>
      </c>
      <c r="D133" s="381" t="s">
        <v>709</v>
      </c>
      <c r="E133" s="382" t="s">
        <v>241</v>
      </c>
      <c r="F133" s="384">
        <f>SUMIF('9.Non-elective admissions - Map'!$C$5:$C$870,'10.Non-elective admissions -HWB'!$D133,'9.Non-elective admissions - Map'!J$5:J$870)</f>
        <v>54.483619166999027</v>
      </c>
      <c r="G133" s="384">
        <f>SUMIF('9.Non-elective admissions - Map'!$C$5:$C$870,'10.Non-elective admissions -HWB'!$D133,'9.Non-elective admissions - Map'!K$5:K$870)</f>
        <v>53.372133354224829</v>
      </c>
      <c r="H133" s="384">
        <f>SUMIF('9.Non-elective admissions - Map'!$C$5:$C$870,'10.Non-elective admissions -HWB'!$D133,'9.Non-elective admissions - Map'!L$5:L$870)</f>
        <v>57.489210016523273</v>
      </c>
      <c r="I133" s="384">
        <f>SUMIF('9.Non-elective admissions - Map'!$C$5:$C$870,'10.Non-elective admissions -HWB'!$D133,'9.Non-elective admissions - Map'!M$5:M$870)</f>
        <v>56.810662497863369</v>
      </c>
      <c r="J133" s="384">
        <f>SUMIF('9.Non-elective admissions - Map'!$C$5:$C$870,'10.Non-elective admissions -HWB'!$D133,'9.Non-elective admissions - Map'!N$5:N$870)</f>
        <v>47.831355763204371</v>
      </c>
      <c r="K133" s="384">
        <f>SUMIF('9.Non-elective admissions - Map'!$C$5:$C$870,'10.Non-elective admissions -HWB'!$D133,'9.Non-elective admissions - Map'!O$5:O$870)</f>
        <v>47.598235143296677</v>
      </c>
      <c r="L133" s="384">
        <f>SUMIF('9.Non-elective admissions - Map'!$C$5:$C$870,'10.Non-elective admissions -HWB'!$D133,'9.Non-elective admissions - Map'!P$5:P$870)</f>
        <v>49.854509714546175</v>
      </c>
      <c r="M133" s="384">
        <f>SUMIF('9.Non-elective admissions - Map'!$C$5:$C$870,'10.Non-elective admissions -HWB'!$D133,'9.Non-elective admissions - Map'!Q$5:Q$870)</f>
        <v>49.417408552219243</v>
      </c>
      <c r="N133" s="384">
        <f>SUMIF('9.Non-elective admissions - Map'!$C$5:$C$870,'10.Non-elective admissions -HWB'!$D133,'9.Non-elective admissions - Map'!R$5:R$870)</f>
        <v>42.415464218563045</v>
      </c>
      <c r="O133" s="384">
        <f>SUMIF('9.Non-elective admissions - Map'!$C$5:$C$870,'10.Non-elective admissions -HWB'!$D133,'9.Non-elective admissions - Map'!S$5:S$870)</f>
        <v>42.248949490057548</v>
      </c>
      <c r="P133" s="384">
        <f>SUMIF('9.Non-elective admissions - Map'!$C$5:$C$870,'10.Non-elective admissions -HWB'!$D133,'9.Non-elective admissions - Map'!T$5:T$870)</f>
        <v>44.317894991738363</v>
      </c>
      <c r="Q133" s="384">
        <f>SUMIF('9.Non-elective admissions - Map'!$C$5:$C$870,'10.Non-elective admissions -HWB'!$D133,'9.Non-elective admissions - Map'!U$5:U$870)</f>
        <v>43.789210728733401</v>
      </c>
    </row>
    <row r="134" spans="1:17">
      <c r="A134" s="380" t="s">
        <v>1238</v>
      </c>
      <c r="B134" s="381" t="s">
        <v>933</v>
      </c>
      <c r="C134" s="381" t="s">
        <v>934</v>
      </c>
      <c r="D134" s="381" t="s">
        <v>746</v>
      </c>
      <c r="E134" s="382" t="s">
        <v>354</v>
      </c>
      <c r="F134" s="384">
        <f>SUMIF('9.Non-elective admissions - Map'!$C$5:$C$870,'10.Non-elective admissions -HWB'!$D134,'9.Non-elective admissions - Map'!J$5:J$870)</f>
        <v>7203.167236970703</v>
      </c>
      <c r="G134" s="384">
        <f>SUMIF('9.Non-elective admissions - Map'!$C$5:$C$870,'10.Non-elective admissions -HWB'!$D134,'9.Non-elective admissions - Map'!K$5:K$870)</f>
        <v>7583.478864554445</v>
      </c>
      <c r="H134" s="384">
        <f>SUMIF('9.Non-elective admissions - Map'!$C$5:$C$870,'10.Non-elective admissions -HWB'!$D134,'9.Non-elective admissions - Map'!L$5:L$870)</f>
        <v>7685.1317005208839</v>
      </c>
      <c r="I134" s="384">
        <f>SUMIF('9.Non-elective admissions - Map'!$C$5:$C$870,'10.Non-elective admissions -HWB'!$D134,'9.Non-elective admissions - Map'!M$5:M$870)</f>
        <v>7306.002082657682</v>
      </c>
      <c r="J134" s="384">
        <f>SUMIF('9.Non-elective admissions - Map'!$C$5:$C$870,'10.Non-elective admissions -HWB'!$D134,'9.Non-elective admissions - Map'!N$5:N$870)</f>
        <v>6301.2938201986899</v>
      </c>
      <c r="K134" s="384">
        <f>SUMIF('9.Non-elective admissions - Map'!$C$5:$C$870,'10.Non-elective admissions -HWB'!$D134,'9.Non-elective admissions - Map'!O$5:O$870)</f>
        <v>6468.8436980852339</v>
      </c>
      <c r="L134" s="384">
        <f>SUMIF('9.Non-elective admissions - Map'!$C$5:$C$870,'10.Non-elective admissions -HWB'!$D134,'9.Non-elective admissions - Map'!P$5:P$870)</f>
        <v>6496.6209265179232</v>
      </c>
      <c r="M134" s="384">
        <f>SUMIF('9.Non-elective admissions - Map'!$C$5:$C$870,'10.Non-elective admissions -HWB'!$D134,'9.Non-elective admissions - Map'!Q$5:Q$870)</f>
        <v>6429.541874877279</v>
      </c>
      <c r="N134" s="384">
        <f>SUMIF('9.Non-elective admissions - Map'!$C$5:$C$870,'10.Non-elective admissions -HWB'!$D134,'9.Non-elective admissions - Map'!R$5:R$870)</f>
        <v>6365.4178475379849</v>
      </c>
      <c r="O134" s="384">
        <f>SUMIF('9.Non-elective admissions - Map'!$C$5:$C$870,'10.Non-elective admissions -HWB'!$D134,'9.Non-elective admissions - Map'!S$5:S$870)</f>
        <v>6534.740740005338</v>
      </c>
      <c r="P134" s="384">
        <f>SUMIF('9.Non-elective admissions - Map'!$C$5:$C$870,'10.Non-elective admissions -HWB'!$D134,'9.Non-elective admissions - Map'!T$5:T$870)</f>
        <v>6563.4044757284328</v>
      </c>
      <c r="Q134" s="384">
        <f>SUMIF('9.Non-elective admissions - Map'!$C$5:$C$870,'10.Non-elective admissions -HWB'!$D134,'9.Non-elective admissions - Map'!U$5:U$870)</f>
        <v>6449.0450352661892</v>
      </c>
    </row>
    <row r="135" spans="1:17">
      <c r="A135" s="380" t="s">
        <v>1238</v>
      </c>
      <c r="B135" s="381" t="s">
        <v>933</v>
      </c>
      <c r="C135" s="381" t="s">
        <v>934</v>
      </c>
      <c r="D135" s="381" t="s">
        <v>781</v>
      </c>
      <c r="E135" s="382" t="s">
        <v>459</v>
      </c>
      <c r="F135" s="384">
        <f>SUMIF('9.Non-elective admissions - Map'!$C$5:$C$870,'10.Non-elective admissions -HWB'!$D135,'9.Non-elective admissions - Map'!J$5:J$870)</f>
        <v>2365.6108651604309</v>
      </c>
      <c r="G135" s="384">
        <f>SUMIF('9.Non-elective admissions - Map'!$C$5:$C$870,'10.Non-elective admissions -HWB'!$D135,'9.Non-elective admissions - Map'!K$5:K$870)</f>
        <v>2608.5893263572775</v>
      </c>
      <c r="H135" s="384">
        <f>SUMIF('9.Non-elective admissions - Map'!$C$5:$C$870,'10.Non-elective admissions -HWB'!$D135,'9.Non-elective admissions - Map'!L$5:L$870)</f>
        <v>2438.1125027756189</v>
      </c>
      <c r="I135" s="384">
        <f>SUMIF('9.Non-elective admissions - Map'!$C$5:$C$870,'10.Non-elective admissions -HWB'!$D135,'9.Non-elective admissions - Map'!M$5:M$870)</f>
        <v>2863.8146857999336</v>
      </c>
      <c r="J135" s="384">
        <f>SUMIF('9.Non-elective admissions - Map'!$C$5:$C$870,'10.Non-elective admissions -HWB'!$D135,'9.Non-elective admissions - Map'!N$5:N$870)</f>
        <v>4117.8970661707563</v>
      </c>
      <c r="K135" s="384">
        <f>SUMIF('9.Non-elective admissions - Map'!$C$5:$C$870,'10.Non-elective admissions -HWB'!$D135,'9.Non-elective admissions - Map'!O$5:O$870)</f>
        <v>4196.7670908737646</v>
      </c>
      <c r="L135" s="384">
        <f>SUMIF('9.Non-elective admissions - Map'!$C$5:$C$870,'10.Non-elective admissions -HWB'!$D135,'9.Non-elective admissions - Map'!P$5:P$870)</f>
        <v>4375.5718052625734</v>
      </c>
      <c r="M135" s="384">
        <f>SUMIF('9.Non-elective admissions - Map'!$C$5:$C$870,'10.Non-elective admissions -HWB'!$D135,'9.Non-elective admissions - Map'!Q$5:Q$870)</f>
        <v>4247.71418757633</v>
      </c>
      <c r="N135" s="384">
        <f>SUMIF('9.Non-elective admissions - Map'!$C$5:$C$870,'10.Non-elective admissions -HWB'!$D135,'9.Non-elective admissions - Map'!R$5:R$870)</f>
        <v>4159.0466442766738</v>
      </c>
      <c r="O135" s="384">
        <f>SUMIF('9.Non-elective admissions - Map'!$C$5:$C$870,'10.Non-elective admissions -HWB'!$D135,'9.Non-elective admissions - Map'!S$5:S$870)</f>
        <v>4238.4065449095151</v>
      </c>
      <c r="P135" s="384">
        <f>SUMIF('9.Non-elective admissions - Map'!$C$5:$C$870,'10.Non-elective admissions -HWB'!$D135,'9.Non-elective admissions - Map'!T$5:T$870)</f>
        <v>4419.1707630176534</v>
      </c>
      <c r="Q135" s="384">
        <f>SUMIF('9.Non-elective admissions - Map'!$C$5:$C$870,'10.Non-elective admissions -HWB'!$D135,'9.Non-elective admissions - Map'!U$5:U$870)</f>
        <v>4290.3333934717439</v>
      </c>
    </row>
    <row r="136" spans="1:17">
      <c r="A136" s="380" t="s">
        <v>1238</v>
      </c>
      <c r="B136" s="381" t="s">
        <v>950</v>
      </c>
      <c r="C136" s="381" t="s">
        <v>951</v>
      </c>
      <c r="D136" s="381" t="s">
        <v>712</v>
      </c>
      <c r="E136" s="382" t="s">
        <v>252</v>
      </c>
      <c r="F136" s="384">
        <f>SUMIF('9.Non-elective admissions - Map'!$C$5:$C$870,'10.Non-elective admissions -HWB'!$D136,'9.Non-elective admissions - Map'!J$5:J$870)</f>
        <v>36072.395937259149</v>
      </c>
      <c r="G136" s="384">
        <f>SUMIF('9.Non-elective admissions - Map'!$C$5:$C$870,'10.Non-elective admissions -HWB'!$D136,'9.Non-elective admissions - Map'!K$5:K$870)</f>
        <v>35839.469689621248</v>
      </c>
      <c r="H136" s="384">
        <f>SUMIF('9.Non-elective admissions - Map'!$C$5:$C$870,'10.Non-elective admissions -HWB'!$D136,'9.Non-elective admissions - Map'!L$5:L$870)</f>
        <v>36092.78209768184</v>
      </c>
      <c r="I136" s="384">
        <f>SUMIF('9.Non-elective admissions - Map'!$C$5:$C$870,'10.Non-elective admissions -HWB'!$D136,'9.Non-elective admissions - Map'!M$5:M$870)</f>
        <v>36414.889635691812</v>
      </c>
      <c r="J136" s="384">
        <f>SUMIF('9.Non-elective admissions - Map'!$C$5:$C$870,'10.Non-elective admissions -HWB'!$D136,'9.Non-elective admissions - Map'!N$5:N$870)</f>
        <v>36171.925226708983</v>
      </c>
      <c r="K136" s="384">
        <f>SUMIF('9.Non-elective admissions - Map'!$C$5:$C$870,'10.Non-elective admissions -HWB'!$D136,'9.Non-elective admissions - Map'!O$5:O$870)</f>
        <v>36425.343341230793</v>
      </c>
      <c r="L136" s="384">
        <f>SUMIF('9.Non-elective admissions - Map'!$C$5:$C$870,'10.Non-elective admissions -HWB'!$D136,'9.Non-elective admissions - Map'!P$5:P$870)</f>
        <v>36328.8463357703</v>
      </c>
      <c r="M136" s="384">
        <f>SUMIF('9.Non-elective admissions - Map'!$C$5:$C$870,'10.Non-elective admissions -HWB'!$D136,'9.Non-elective admissions - Map'!Q$5:Q$870)</f>
        <v>35453.815092461846</v>
      </c>
      <c r="N136" s="384">
        <f>SUMIF('9.Non-elective admissions - Map'!$C$5:$C$870,'10.Non-elective admissions -HWB'!$D136,'9.Non-elective admissions - Map'!R$5:R$870)</f>
        <v>35187.91037349878</v>
      </c>
      <c r="O136" s="384">
        <f>SUMIF('9.Non-elective admissions - Map'!$C$5:$C$870,'10.Non-elective admissions -HWB'!$D136,'9.Non-elective admissions - Map'!S$5:S$870)</f>
        <v>35277.498232152197</v>
      </c>
      <c r="P136" s="384">
        <f>SUMIF('9.Non-elective admissions - Map'!$C$5:$C$870,'10.Non-elective admissions -HWB'!$D136,'9.Non-elective admissions - Map'!T$5:T$870)</f>
        <v>35124.000937918026</v>
      </c>
      <c r="Q136" s="384">
        <f>SUMIF('9.Non-elective admissions - Map'!$C$5:$C$870,'10.Non-elective admissions -HWB'!$D136,'9.Non-elective admissions - Map'!U$5:U$870)</f>
        <v>34612.800518546603</v>
      </c>
    </row>
    <row r="137" spans="1:17">
      <c r="A137" s="380" t="s">
        <v>1238</v>
      </c>
      <c r="B137" s="381" t="s">
        <v>950</v>
      </c>
      <c r="C137" s="381" t="s">
        <v>951</v>
      </c>
      <c r="D137" s="381" t="s">
        <v>727</v>
      </c>
      <c r="E137" s="382" t="s">
        <v>297</v>
      </c>
      <c r="F137" s="384">
        <f>SUMIF('9.Non-elective admissions - Map'!$C$5:$C$870,'10.Non-elective admissions -HWB'!$D137,'9.Non-elective admissions - Map'!J$5:J$870)</f>
        <v>5868.1084462654007</v>
      </c>
      <c r="G137" s="384">
        <f>SUMIF('9.Non-elective admissions - Map'!$C$5:$C$870,'10.Non-elective admissions -HWB'!$D137,'9.Non-elective admissions - Map'!K$5:K$870)</f>
        <v>5802.1676561193672</v>
      </c>
      <c r="H137" s="384">
        <f>SUMIF('9.Non-elective admissions - Map'!$C$5:$C$870,'10.Non-elective admissions -HWB'!$D137,'9.Non-elective admissions - Map'!L$5:L$870)</f>
        <v>6284.6283256089155</v>
      </c>
      <c r="I137" s="384">
        <f>SUMIF('9.Non-elective admissions - Map'!$C$5:$C$870,'10.Non-elective admissions -HWB'!$D137,'9.Non-elective admissions - Map'!M$5:M$870)</f>
        <v>6207.1826370947929</v>
      </c>
      <c r="J137" s="384">
        <f>SUMIF('9.Non-elective admissions - Map'!$C$5:$C$870,'10.Non-elective admissions -HWB'!$D137,'9.Non-elective admissions - Map'!N$5:N$870)</f>
        <v>5539.2459804220907</v>
      </c>
      <c r="K137" s="384">
        <f>SUMIF('9.Non-elective admissions - Map'!$C$5:$C$870,'10.Non-elective admissions -HWB'!$D137,'9.Non-elective admissions - Map'!O$5:O$870)</f>
        <v>5599.5306082890929</v>
      </c>
      <c r="L137" s="384">
        <f>SUMIF('9.Non-elective admissions - Map'!$C$5:$C$870,'10.Non-elective admissions -HWB'!$D137,'9.Non-elective admissions - Map'!P$5:P$870)</f>
        <v>5599.4394308933161</v>
      </c>
      <c r="M137" s="384">
        <f>SUMIF('9.Non-elective admissions - Map'!$C$5:$C$870,'10.Non-elective admissions -HWB'!$D137,'9.Non-elective admissions - Map'!Q$5:Q$870)</f>
        <v>5483.9500695051775</v>
      </c>
      <c r="N137" s="384">
        <f>SUMIF('9.Non-elective admissions - Map'!$C$5:$C$870,'10.Non-elective admissions -HWB'!$D137,'9.Non-elective admissions - Map'!R$5:R$870)</f>
        <v>5130.728820545226</v>
      </c>
      <c r="O137" s="384">
        <f>SUMIF('9.Non-elective admissions - Map'!$C$5:$C$870,'10.Non-elective admissions -HWB'!$D137,'9.Non-elective admissions - Map'!S$5:S$870)</f>
        <v>5101.6677393475138</v>
      </c>
      <c r="P137" s="384">
        <f>SUMIF('9.Non-elective admissions - Map'!$C$5:$C$870,'10.Non-elective admissions -HWB'!$D137,'9.Non-elective admissions - Map'!T$5:T$870)</f>
        <v>5197.5430840875142</v>
      </c>
      <c r="Q137" s="384">
        <f>SUMIF('9.Non-elective admissions - Map'!$C$5:$C$870,'10.Non-elective admissions -HWB'!$D137,'9.Non-elective admissions - Map'!U$5:U$870)</f>
        <v>5183.0540820825245</v>
      </c>
    </row>
    <row r="138" spans="1:17">
      <c r="A138" s="380" t="s">
        <v>1238</v>
      </c>
      <c r="B138" s="381" t="s">
        <v>924</v>
      </c>
      <c r="C138" s="381" t="s">
        <v>925</v>
      </c>
      <c r="D138" s="381" t="s">
        <v>664</v>
      </c>
      <c r="E138" s="382" t="s">
        <v>76</v>
      </c>
      <c r="F138" s="384">
        <f>SUMIF('9.Non-elective admissions - Map'!$C$5:$C$870,'10.Non-elective admissions -HWB'!$D138,'9.Non-elective admissions - Map'!J$5:J$870)</f>
        <v>6189.2769974048961</v>
      </c>
      <c r="G138" s="384">
        <f>SUMIF('9.Non-elective admissions - Map'!$C$5:$C$870,'10.Non-elective admissions -HWB'!$D138,'9.Non-elective admissions - Map'!K$5:K$870)</f>
        <v>6430.4111736914183</v>
      </c>
      <c r="H138" s="384">
        <f>SUMIF('9.Non-elective admissions - Map'!$C$5:$C$870,'10.Non-elective admissions -HWB'!$D138,'9.Non-elective admissions - Map'!L$5:L$870)</f>
        <v>6469.0529020735703</v>
      </c>
      <c r="I138" s="384">
        <f>SUMIF('9.Non-elective admissions - Map'!$C$5:$C$870,'10.Non-elective admissions -HWB'!$D138,'9.Non-elective admissions - Map'!M$5:M$870)</f>
        <v>6090.7296420511047</v>
      </c>
      <c r="J138" s="384">
        <f>SUMIF('9.Non-elective admissions - Map'!$C$5:$C$870,'10.Non-elective admissions -HWB'!$D138,'9.Non-elective admissions - Map'!N$5:N$870)</f>
        <v>5977.0007337281859</v>
      </c>
      <c r="K138" s="384">
        <f>SUMIF('9.Non-elective admissions - Map'!$C$5:$C$870,'10.Non-elective admissions -HWB'!$D138,'9.Non-elective admissions - Map'!O$5:O$870)</f>
        <v>6088.5079154659243</v>
      </c>
      <c r="L138" s="384">
        <f>SUMIF('9.Non-elective admissions - Map'!$C$5:$C$870,'10.Non-elective admissions -HWB'!$D138,'9.Non-elective admissions - Map'!P$5:P$870)</f>
        <v>6089.8458690471389</v>
      </c>
      <c r="M138" s="384">
        <f>SUMIF('9.Non-elective admissions - Map'!$C$5:$C$870,'10.Non-elective admissions -HWB'!$D138,'9.Non-elective admissions - Map'!Q$5:Q$870)</f>
        <v>5714.1507161984919</v>
      </c>
      <c r="N138" s="384">
        <f>SUMIF('9.Non-elective admissions - Map'!$C$5:$C$870,'10.Non-elective admissions -HWB'!$D138,'9.Non-elective admissions - Map'!R$5:R$870)</f>
        <v>5785.0618694129153</v>
      </c>
      <c r="O138" s="384">
        <f>SUMIF('9.Non-elective admissions - Map'!$C$5:$C$870,'10.Non-elective admissions -HWB'!$D138,'9.Non-elective admissions - Map'!S$5:S$870)</f>
        <v>5890.6983425766048</v>
      </c>
      <c r="P138" s="384">
        <f>SUMIF('9.Non-elective admissions - Map'!$C$5:$C$870,'10.Non-elective admissions -HWB'!$D138,'9.Non-elective admissions - Map'!T$5:T$870)</f>
        <v>5892.0106881901793</v>
      </c>
      <c r="Q138" s="384">
        <f>SUMIF('9.Non-elective admissions - Map'!$C$5:$C$870,'10.Non-elective admissions -HWB'!$D138,'9.Non-elective admissions - Map'!U$5:U$870)</f>
        <v>5593.7132917595954</v>
      </c>
    </row>
    <row r="139" spans="1:17">
      <c r="A139" s="380" t="s">
        <v>1238</v>
      </c>
      <c r="B139" s="381" t="s">
        <v>924</v>
      </c>
      <c r="C139" s="381" t="s">
        <v>925</v>
      </c>
      <c r="D139" s="381" t="s">
        <v>690</v>
      </c>
      <c r="E139" s="382" t="s">
        <v>173</v>
      </c>
      <c r="F139" s="384">
        <f>SUMIF('9.Non-elective admissions - Map'!$C$5:$C$870,'10.Non-elective admissions -HWB'!$D139,'9.Non-elective admissions - Map'!J$5:J$870)</f>
        <v>12655.553183635649</v>
      </c>
      <c r="G139" s="384">
        <f>SUMIF('9.Non-elective admissions - Map'!$C$5:$C$870,'10.Non-elective admissions -HWB'!$D139,'9.Non-elective admissions - Map'!K$5:K$870)</f>
        <v>12975.738262137589</v>
      </c>
      <c r="H139" s="384">
        <f>SUMIF('9.Non-elective admissions - Map'!$C$5:$C$870,'10.Non-elective admissions -HWB'!$D139,'9.Non-elective admissions - Map'!L$5:L$870)</f>
        <v>13759.962004471707</v>
      </c>
      <c r="I139" s="384">
        <f>SUMIF('9.Non-elective admissions - Map'!$C$5:$C$870,'10.Non-elective admissions -HWB'!$D139,'9.Non-elective admissions - Map'!M$5:M$870)</f>
        <v>13586.699341469692</v>
      </c>
      <c r="J139" s="384">
        <f>SUMIF('9.Non-elective admissions - Map'!$C$5:$C$870,'10.Non-elective admissions -HWB'!$D139,'9.Non-elective admissions - Map'!N$5:N$870)</f>
        <v>12062.628007250669</v>
      </c>
      <c r="K139" s="384">
        <f>SUMIF('9.Non-elective admissions - Map'!$C$5:$C$870,'10.Non-elective admissions -HWB'!$D139,'9.Non-elective admissions - Map'!O$5:O$870)</f>
        <v>12170.252778652963</v>
      </c>
      <c r="L139" s="384">
        <f>SUMIF('9.Non-elective admissions - Map'!$C$5:$C$870,'10.Non-elective admissions -HWB'!$D139,'9.Non-elective admissions - Map'!P$5:P$870)</f>
        <v>12170.524084520961</v>
      </c>
      <c r="M139" s="384">
        <f>SUMIF('9.Non-elective admissions - Map'!$C$5:$C$870,'10.Non-elective admissions -HWB'!$D139,'9.Non-elective admissions - Map'!Q$5:Q$870)</f>
        <v>11956.787935178072</v>
      </c>
      <c r="N139" s="384">
        <f>SUMIF('9.Non-elective admissions - Map'!$C$5:$C$870,'10.Non-elective admissions -HWB'!$D139,'9.Non-elective admissions - Map'!R$5:R$870)</f>
        <v>12104.276812170565</v>
      </c>
      <c r="O139" s="384">
        <f>SUMIF('9.Non-elective admissions - Map'!$C$5:$C$870,'10.Non-elective admissions -HWB'!$D139,'9.Non-elective admissions - Map'!S$5:S$870)</f>
        <v>12211.27516654381</v>
      </c>
      <c r="P139" s="384">
        <f>SUMIF('9.Non-elective admissions - Map'!$C$5:$C$870,'10.Non-elective admissions -HWB'!$D139,'9.Non-elective admissions - Map'!T$5:T$870)</f>
        <v>12211.429144787342</v>
      </c>
      <c r="Q139" s="384">
        <f>SUMIF('9.Non-elective admissions - Map'!$C$5:$C$870,'10.Non-elective admissions -HWB'!$D139,'9.Non-elective admissions - Map'!U$5:U$870)</f>
        <v>12008.949214810171</v>
      </c>
    </row>
    <row r="140" spans="1:17">
      <c r="A140" s="380" t="s">
        <v>1238</v>
      </c>
      <c r="B140" s="381" t="s">
        <v>924</v>
      </c>
      <c r="C140" s="381" t="s">
        <v>925</v>
      </c>
      <c r="D140" s="381" t="s">
        <v>775</v>
      </c>
      <c r="E140" s="382" t="s">
        <v>441</v>
      </c>
      <c r="F140" s="384">
        <f>SUMIF('9.Non-elective admissions - Map'!$C$5:$C$870,'10.Non-elective admissions -HWB'!$D140,'9.Non-elective admissions - Map'!J$5:J$870)</f>
        <v>23868.229305950368</v>
      </c>
      <c r="G140" s="384">
        <f>SUMIF('9.Non-elective admissions - Map'!$C$5:$C$870,'10.Non-elective admissions -HWB'!$D140,'9.Non-elective admissions - Map'!K$5:K$870)</f>
        <v>23789.897149442775</v>
      </c>
      <c r="H140" s="384">
        <f>SUMIF('9.Non-elective admissions - Map'!$C$5:$C$870,'10.Non-elective admissions -HWB'!$D140,'9.Non-elective admissions - Map'!L$5:L$870)</f>
        <v>25195.231119491975</v>
      </c>
      <c r="I140" s="384">
        <f>SUMIF('9.Non-elective admissions - Map'!$C$5:$C$870,'10.Non-elective admissions -HWB'!$D140,'9.Non-elective admissions - Map'!M$5:M$870)</f>
        <v>24833.909379800334</v>
      </c>
      <c r="J140" s="384">
        <f>SUMIF('9.Non-elective admissions - Map'!$C$5:$C$870,'10.Non-elective admissions -HWB'!$D140,'9.Non-elective admissions - Map'!N$5:N$870)</f>
        <v>24691.050881580715</v>
      </c>
      <c r="K140" s="384">
        <f>SUMIF('9.Non-elective admissions - Map'!$C$5:$C$870,'10.Non-elective admissions -HWB'!$D140,'9.Non-elective admissions - Map'!O$5:O$870)</f>
        <v>23701.526361034332</v>
      </c>
      <c r="L140" s="384">
        <f>SUMIF('9.Non-elective admissions - Map'!$C$5:$C$870,'10.Non-elective admissions -HWB'!$D140,'9.Non-elective admissions - Map'!P$5:P$870)</f>
        <v>24441.857296965976</v>
      </c>
      <c r="M140" s="384">
        <f>SUMIF('9.Non-elective admissions - Map'!$C$5:$C$870,'10.Non-elective admissions -HWB'!$D140,'9.Non-elective admissions - Map'!Q$5:Q$870)</f>
        <v>24004.00108895071</v>
      </c>
      <c r="N140" s="384">
        <f>SUMIF('9.Non-elective admissions - Map'!$C$5:$C$870,'10.Non-elective admissions -HWB'!$D140,'9.Non-elective admissions - Map'!R$5:R$870)</f>
        <v>23188.633276421908</v>
      </c>
      <c r="O140" s="384">
        <f>SUMIF('9.Non-elective admissions - Map'!$C$5:$C$870,'10.Non-elective admissions -HWB'!$D140,'9.Non-elective admissions - Map'!S$5:S$870)</f>
        <v>22640.278504694194</v>
      </c>
      <c r="P140" s="384">
        <f>SUMIF('9.Non-elective admissions - Map'!$C$5:$C$870,'10.Non-elective admissions -HWB'!$D140,'9.Non-elective admissions - Map'!T$5:T$870)</f>
        <v>23391.62604262049</v>
      </c>
      <c r="Q140" s="384">
        <f>SUMIF('9.Non-elective admissions - Map'!$C$5:$C$870,'10.Non-elective admissions -HWB'!$D140,'9.Non-elective admissions - Map'!U$5:U$870)</f>
        <v>23068.47600605329</v>
      </c>
    </row>
    <row r="141" spans="1:17">
      <c r="A141" s="380" t="s">
        <v>1238</v>
      </c>
      <c r="B141" s="381" t="s">
        <v>924</v>
      </c>
      <c r="C141" s="381" t="s">
        <v>925</v>
      </c>
      <c r="D141" s="381" t="s">
        <v>791</v>
      </c>
      <c r="E141" s="382" t="s">
        <v>489</v>
      </c>
      <c r="F141" s="384">
        <f>SUMIF('9.Non-elective admissions - Map'!$C$5:$C$870,'10.Non-elective admissions -HWB'!$D141,'9.Non-elective admissions - Map'!J$5:J$870)</f>
        <v>19172.290394197873</v>
      </c>
      <c r="G141" s="384">
        <f>SUMIF('9.Non-elective admissions - Map'!$C$5:$C$870,'10.Non-elective admissions -HWB'!$D141,'9.Non-elective admissions - Map'!K$5:K$870)</f>
        <v>19758.81828126805</v>
      </c>
      <c r="H141" s="384">
        <f>SUMIF('9.Non-elective admissions - Map'!$C$5:$C$870,'10.Non-elective admissions -HWB'!$D141,'9.Non-elective admissions - Map'!L$5:L$870)</f>
        <v>20610.990068295992</v>
      </c>
      <c r="I141" s="384">
        <f>SUMIF('9.Non-elective admissions - Map'!$C$5:$C$870,'10.Non-elective admissions -HWB'!$D141,'9.Non-elective admissions - Map'!M$5:M$870)</f>
        <v>20516.144415319377</v>
      </c>
      <c r="J141" s="384">
        <f>SUMIF('9.Non-elective admissions - Map'!$C$5:$C$870,'10.Non-elective admissions -HWB'!$D141,'9.Non-elective admissions - Map'!N$5:N$870)</f>
        <v>18288.54590983058</v>
      </c>
      <c r="K141" s="384">
        <f>SUMIF('9.Non-elective admissions - Map'!$C$5:$C$870,'10.Non-elective admissions -HWB'!$D141,'9.Non-elective admissions - Map'!O$5:O$870)</f>
        <v>18278.972581411716</v>
      </c>
      <c r="L141" s="384">
        <f>SUMIF('9.Non-elective admissions - Map'!$C$5:$C$870,'10.Non-elective admissions -HWB'!$D141,'9.Non-elective admissions - Map'!P$5:P$870)</f>
        <v>18791.76196352678</v>
      </c>
      <c r="M141" s="384">
        <f>SUMIF('9.Non-elective admissions - Map'!$C$5:$C$870,'10.Non-elective admissions -HWB'!$D141,'9.Non-elective admissions - Map'!Q$5:Q$870)</f>
        <v>18330.468468464656</v>
      </c>
      <c r="N141" s="384">
        <f>SUMIF('9.Non-elective admissions - Map'!$C$5:$C$870,'10.Non-elective admissions -HWB'!$D141,'9.Non-elective admissions - Map'!R$5:R$870)</f>
        <v>17612.77586528557</v>
      </c>
      <c r="O141" s="384">
        <f>SUMIF('9.Non-elective admissions - Map'!$C$5:$C$870,'10.Non-elective admissions -HWB'!$D141,'9.Non-elective admissions - Map'!S$5:S$870)</f>
        <v>17593.685224714955</v>
      </c>
      <c r="P141" s="384">
        <f>SUMIF('9.Non-elective admissions - Map'!$C$5:$C$870,'10.Non-elective admissions -HWB'!$D141,'9.Non-elective admissions - Map'!T$5:T$870)</f>
        <v>18076.978780987854</v>
      </c>
      <c r="Q141" s="384">
        <f>SUMIF('9.Non-elective admissions - Map'!$C$5:$C$870,'10.Non-elective admissions -HWB'!$D141,'9.Non-elective admissions - Map'!U$5:U$870)</f>
        <v>17880.349252899097</v>
      </c>
    </row>
    <row r="142" spans="1:17">
      <c r="A142" s="380" t="s">
        <v>1238</v>
      </c>
      <c r="B142" s="381" t="s">
        <v>918</v>
      </c>
      <c r="C142" s="381" t="s">
        <v>919</v>
      </c>
      <c r="D142" s="381" t="s">
        <v>661</v>
      </c>
      <c r="E142" s="382" t="s">
        <v>64</v>
      </c>
      <c r="F142" s="384">
        <f>SUMIF('9.Non-elective admissions - Map'!$C$5:$C$870,'10.Non-elective admissions -HWB'!$D142,'9.Non-elective admissions - Map'!J$5:J$870)</f>
        <v>2075.6016819562292</v>
      </c>
      <c r="G142" s="384">
        <f>SUMIF('9.Non-elective admissions - Map'!$C$5:$C$870,'10.Non-elective admissions -HWB'!$D142,'9.Non-elective admissions - Map'!K$5:K$870)</f>
        <v>2132.1476983642333</v>
      </c>
      <c r="H142" s="384">
        <f>SUMIF('9.Non-elective admissions - Map'!$C$5:$C$870,'10.Non-elective admissions -HWB'!$D142,'9.Non-elective admissions - Map'!L$5:L$870)</f>
        <v>2213.4674685005907</v>
      </c>
      <c r="I142" s="384">
        <f>SUMIF('9.Non-elective admissions - Map'!$C$5:$C$870,'10.Non-elective admissions -HWB'!$D142,'9.Non-elective admissions - Map'!M$5:M$870)</f>
        <v>2143.4933143392082</v>
      </c>
      <c r="J142" s="384">
        <f>SUMIF('9.Non-elective admissions - Map'!$C$5:$C$870,'10.Non-elective admissions -HWB'!$D142,'9.Non-elective admissions - Map'!N$5:N$870)</f>
        <v>1910.7170000985261</v>
      </c>
      <c r="K142" s="384">
        <f>SUMIF('9.Non-elective admissions - Map'!$C$5:$C$870,'10.Non-elective admissions -HWB'!$D142,'9.Non-elective admissions - Map'!O$5:O$870)</f>
        <v>1968.7094266346292</v>
      </c>
      <c r="L142" s="384">
        <f>SUMIF('9.Non-elective admissions - Map'!$C$5:$C$870,'10.Non-elective admissions -HWB'!$D142,'9.Non-elective admissions - Map'!P$5:P$870)</f>
        <v>2066.4435569575076</v>
      </c>
      <c r="M142" s="384">
        <f>SUMIF('9.Non-elective admissions - Map'!$C$5:$C$870,'10.Non-elective admissions -HWB'!$D142,'9.Non-elective admissions - Map'!Q$5:Q$870)</f>
        <v>2000.7415797520305</v>
      </c>
      <c r="N142" s="384">
        <f>SUMIF('9.Non-elective admissions - Map'!$C$5:$C$870,'10.Non-elective admissions -HWB'!$D142,'9.Non-elective admissions - Map'!R$5:R$870)</f>
        <v>1938.241515418888</v>
      </c>
      <c r="O142" s="384">
        <f>SUMIF('9.Non-elective admissions - Map'!$C$5:$C$870,'10.Non-elective admissions -HWB'!$D142,'9.Non-elective admissions - Map'!S$5:S$870)</f>
        <v>2001.0020456165057</v>
      </c>
      <c r="P142" s="384">
        <f>SUMIF('9.Non-elective admissions - Map'!$C$5:$C$870,'10.Non-elective admissions -HWB'!$D142,'9.Non-elective admissions - Map'!T$5:T$870)</f>
        <v>2096.2399166396626</v>
      </c>
      <c r="Q142" s="384">
        <f>SUMIF('9.Non-elective admissions - Map'!$C$5:$C$870,'10.Non-elective admissions -HWB'!$D142,'9.Non-elective admissions - Map'!U$5:U$870)</f>
        <v>2031.4526217172872</v>
      </c>
    </row>
    <row r="143" spans="1:17">
      <c r="A143" s="380" t="s">
        <v>1238</v>
      </c>
      <c r="B143" s="381" t="s">
        <v>918</v>
      </c>
      <c r="C143" s="381" t="s">
        <v>919</v>
      </c>
      <c r="D143" s="381" t="s">
        <v>667</v>
      </c>
      <c r="E143" s="382" t="s">
        <v>86</v>
      </c>
      <c r="F143" s="384">
        <f>SUMIF('9.Non-elective admissions - Map'!$C$5:$C$870,'10.Non-elective admissions -HWB'!$D143,'9.Non-elective admissions - Map'!J$5:J$870)</f>
        <v>9998.2719715735748</v>
      </c>
      <c r="G143" s="384">
        <f>SUMIF('9.Non-elective admissions - Map'!$C$5:$C$870,'10.Non-elective admissions -HWB'!$D143,'9.Non-elective admissions - Map'!K$5:K$870)</f>
        <v>9766.896481512933</v>
      </c>
      <c r="H143" s="384">
        <f>SUMIF('9.Non-elective admissions - Map'!$C$5:$C$870,'10.Non-elective admissions -HWB'!$D143,'9.Non-elective admissions - Map'!L$5:L$870)</f>
        <v>10470.843801827985</v>
      </c>
      <c r="I143" s="384">
        <f>SUMIF('9.Non-elective admissions - Map'!$C$5:$C$870,'10.Non-elective admissions -HWB'!$D143,'9.Non-elective admissions - Map'!M$5:M$870)</f>
        <v>10605.467195904803</v>
      </c>
      <c r="J143" s="384">
        <f>SUMIF('9.Non-elective admissions - Map'!$C$5:$C$870,'10.Non-elective admissions -HWB'!$D143,'9.Non-elective admissions - Map'!N$5:N$870)</f>
        <v>11474.302797737308</v>
      </c>
      <c r="K143" s="384">
        <f>SUMIF('9.Non-elective admissions - Map'!$C$5:$C$870,'10.Non-elective admissions -HWB'!$D143,'9.Non-elective admissions - Map'!O$5:O$870)</f>
        <v>11587.855638394574</v>
      </c>
      <c r="L143" s="384">
        <f>SUMIF('9.Non-elective admissions - Map'!$C$5:$C$870,'10.Non-elective admissions -HWB'!$D143,'9.Non-elective admissions - Map'!P$5:P$870)</f>
        <v>11623.45142633588</v>
      </c>
      <c r="M143" s="384">
        <f>SUMIF('9.Non-elective admissions - Map'!$C$5:$C$870,'10.Non-elective admissions -HWB'!$D143,'9.Non-elective admissions - Map'!Q$5:Q$870)</f>
        <v>11357.127179113415</v>
      </c>
      <c r="N143" s="384">
        <f>SUMIF('9.Non-elective admissions - Map'!$C$5:$C$870,'10.Non-elective admissions -HWB'!$D143,'9.Non-elective admissions - Map'!R$5:R$870)</f>
        <v>11434.634244944726</v>
      </c>
      <c r="O143" s="384">
        <f>SUMIF('9.Non-elective admissions - Map'!$C$5:$C$870,'10.Non-elective admissions -HWB'!$D143,'9.Non-elective admissions - Map'!S$5:S$870)</f>
        <v>11549.087426441469</v>
      </c>
      <c r="P143" s="384">
        <f>SUMIF('9.Non-elective admissions - Map'!$C$5:$C$870,'10.Non-elective admissions -HWB'!$D143,'9.Non-elective admissions - Map'!T$5:T$870)</f>
        <v>11594.041423789206</v>
      </c>
      <c r="Q143" s="384">
        <f>SUMIF('9.Non-elective admissions - Map'!$C$5:$C$870,'10.Non-elective admissions -HWB'!$D143,'9.Non-elective admissions - Map'!U$5:U$870)</f>
        <v>11336.089489761209</v>
      </c>
    </row>
    <row r="144" spans="1:17">
      <c r="A144" s="380" t="s">
        <v>1238</v>
      </c>
      <c r="B144" s="381" t="s">
        <v>918</v>
      </c>
      <c r="C144" s="381" t="s">
        <v>919</v>
      </c>
      <c r="D144" s="381" t="s">
        <v>744</v>
      </c>
      <c r="E144" s="382" t="s">
        <v>348</v>
      </c>
      <c r="F144" s="384">
        <f>SUMIF('9.Non-elective admissions - Map'!$C$5:$C$870,'10.Non-elective admissions -HWB'!$D144,'9.Non-elective admissions - Map'!J$5:J$870)</f>
        <v>12668.902940247948</v>
      </c>
      <c r="G144" s="384">
        <f>SUMIF('9.Non-elective admissions - Map'!$C$5:$C$870,'10.Non-elective admissions -HWB'!$D144,'9.Non-elective admissions - Map'!K$5:K$870)</f>
        <v>12912.149718054688</v>
      </c>
      <c r="H144" s="384">
        <f>SUMIF('9.Non-elective admissions - Map'!$C$5:$C$870,'10.Non-elective admissions -HWB'!$D144,'9.Non-elective admissions - Map'!L$5:L$870)</f>
        <v>13055.823641948866</v>
      </c>
      <c r="I144" s="384">
        <f>SUMIF('9.Non-elective admissions - Map'!$C$5:$C$870,'10.Non-elective admissions -HWB'!$D144,'9.Non-elective admissions - Map'!M$5:M$870)</f>
        <v>12768.175536466255</v>
      </c>
      <c r="J144" s="384">
        <f>SUMIF('9.Non-elective admissions - Map'!$C$5:$C$870,'10.Non-elective admissions -HWB'!$D144,'9.Non-elective admissions - Map'!N$5:N$870)</f>
        <v>12302.776993952846</v>
      </c>
      <c r="K144" s="384">
        <f>SUMIF('9.Non-elective admissions - Map'!$C$5:$C$870,'10.Non-elective admissions -HWB'!$D144,'9.Non-elective admissions - Map'!O$5:O$870)</f>
        <v>12678.199779793</v>
      </c>
      <c r="L144" s="384">
        <f>SUMIF('9.Non-elective admissions - Map'!$C$5:$C$870,'10.Non-elective admissions -HWB'!$D144,'9.Non-elective admissions - Map'!P$5:P$870)</f>
        <v>12896.096878210197</v>
      </c>
      <c r="M144" s="384">
        <f>SUMIF('9.Non-elective admissions - Map'!$C$5:$C$870,'10.Non-elective admissions -HWB'!$D144,'9.Non-elective admissions - Map'!Q$5:Q$870)</f>
        <v>12288.391144128207</v>
      </c>
      <c r="N144" s="384">
        <f>SUMIF('9.Non-elective admissions - Map'!$C$5:$C$870,'10.Non-elective admissions -HWB'!$D144,'9.Non-elective admissions - Map'!R$5:R$870)</f>
        <v>12520.893247291653</v>
      </c>
      <c r="O144" s="384">
        <f>SUMIF('9.Non-elective admissions - Map'!$C$5:$C$870,'10.Non-elective admissions -HWB'!$D144,'9.Non-elective admissions - Map'!S$5:S$870)</f>
        <v>12905.884855985019</v>
      </c>
      <c r="P144" s="384">
        <f>SUMIF('9.Non-elective admissions - Map'!$C$5:$C$870,'10.Non-elective admissions -HWB'!$D144,'9.Non-elective admissions - Map'!T$5:T$870)</f>
        <v>13124.411350220877</v>
      </c>
      <c r="Q144" s="384">
        <f>SUMIF('9.Non-elective admissions - Map'!$C$5:$C$870,'10.Non-elective admissions -HWB'!$D144,'9.Non-elective admissions - Map'!U$5:U$870)</f>
        <v>12508.847851980259</v>
      </c>
    </row>
    <row r="145" spans="1:17">
      <c r="A145" s="380" t="s">
        <v>1238</v>
      </c>
      <c r="B145" s="381" t="s">
        <v>918</v>
      </c>
      <c r="C145" s="381" t="s">
        <v>919</v>
      </c>
      <c r="D145" s="381" t="s">
        <v>748</v>
      </c>
      <c r="E145" s="382" t="s">
        <v>360</v>
      </c>
      <c r="F145" s="384">
        <f>SUMIF('9.Non-elective admissions - Map'!$C$5:$C$870,'10.Non-elective admissions -HWB'!$D145,'9.Non-elective admissions - Map'!J$5:J$870)</f>
        <v>2742.1237224120741</v>
      </c>
      <c r="G145" s="384">
        <f>SUMIF('9.Non-elective admissions - Map'!$C$5:$C$870,'10.Non-elective admissions -HWB'!$D145,'9.Non-elective admissions - Map'!K$5:K$870)</f>
        <v>2686.0049813534056</v>
      </c>
      <c r="H145" s="384">
        <f>SUMIF('9.Non-elective admissions - Map'!$C$5:$C$870,'10.Non-elective admissions -HWB'!$D145,'9.Non-elective admissions - Map'!L$5:L$870)</f>
        <v>2895.2379601541197</v>
      </c>
      <c r="I145" s="384">
        <f>SUMIF('9.Non-elective admissions - Map'!$C$5:$C$870,'10.Non-elective admissions -HWB'!$D145,'9.Non-elective admissions - Map'!M$5:M$870)</f>
        <v>2849.6130495112388</v>
      </c>
      <c r="J145" s="384">
        <f>SUMIF('9.Non-elective admissions - Map'!$C$5:$C$870,'10.Non-elective admissions -HWB'!$D145,'9.Non-elective admissions - Map'!N$5:N$870)</f>
        <v>2791.7598931255898</v>
      </c>
      <c r="K145" s="384">
        <f>SUMIF('9.Non-elective admissions - Map'!$C$5:$C$870,'10.Non-elective admissions -HWB'!$D145,'9.Non-elective admissions - Map'!O$5:O$870)</f>
        <v>2711.1149189346165</v>
      </c>
      <c r="L145" s="384">
        <f>SUMIF('9.Non-elective admissions - Map'!$C$5:$C$870,'10.Non-elective admissions -HWB'!$D145,'9.Non-elective admissions - Map'!P$5:P$870)</f>
        <v>2833.6882428491504</v>
      </c>
      <c r="M145" s="384">
        <f>SUMIF('9.Non-elective admissions - Map'!$C$5:$C$870,'10.Non-elective admissions -HWB'!$D145,'9.Non-elective admissions - Map'!Q$5:Q$870)</f>
        <v>2649.2944575761144</v>
      </c>
      <c r="N145" s="384">
        <f>SUMIF('9.Non-elective admissions - Map'!$C$5:$C$870,'10.Non-elective admissions -HWB'!$D145,'9.Non-elective admissions - Map'!R$5:R$870)</f>
        <v>2749.4639924328098</v>
      </c>
      <c r="O145" s="384">
        <f>SUMIF('9.Non-elective admissions - Map'!$C$5:$C$870,'10.Non-elective admissions -HWB'!$D145,'9.Non-elective admissions - Map'!S$5:S$870)</f>
        <v>2722.7390953373456</v>
      </c>
      <c r="P145" s="384">
        <f>SUMIF('9.Non-elective admissions - Map'!$C$5:$C$870,'10.Non-elective admissions -HWB'!$D145,'9.Non-elective admissions - Map'!T$5:T$870)</f>
        <v>2844.6053139022201</v>
      </c>
      <c r="Q145" s="384">
        <f>SUMIF('9.Non-elective admissions - Map'!$C$5:$C$870,'10.Non-elective admissions -HWB'!$D145,'9.Non-elective admissions - Map'!U$5:U$870)</f>
        <v>2715.3928668966496</v>
      </c>
    </row>
    <row r="146" spans="1:17">
      <c r="A146" s="380" t="s">
        <v>1238</v>
      </c>
      <c r="B146" s="381" t="s">
        <v>918</v>
      </c>
      <c r="C146" s="381" t="s">
        <v>919</v>
      </c>
      <c r="D146" s="381" t="s">
        <v>760</v>
      </c>
      <c r="E146" s="382" t="s">
        <v>396</v>
      </c>
      <c r="F146" s="384">
        <f>SUMIF('9.Non-elective admissions - Map'!$C$5:$C$870,'10.Non-elective admissions -HWB'!$D146,'9.Non-elective admissions - Map'!J$5:J$870)</f>
        <v>3567.768231859834</v>
      </c>
      <c r="G146" s="384">
        <f>SUMIF('9.Non-elective admissions - Map'!$C$5:$C$870,'10.Non-elective admissions -HWB'!$D146,'9.Non-elective admissions - Map'!K$5:K$870)</f>
        <v>3845.084940401176</v>
      </c>
      <c r="H146" s="384">
        <f>SUMIF('9.Non-elective admissions - Map'!$C$5:$C$870,'10.Non-elective admissions -HWB'!$D146,'9.Non-elective admissions - Map'!L$5:L$870)</f>
        <v>4258.3195393038104</v>
      </c>
      <c r="I146" s="384">
        <f>SUMIF('9.Non-elective admissions - Map'!$C$5:$C$870,'10.Non-elective admissions -HWB'!$D146,'9.Non-elective admissions - Map'!M$5:M$870)</f>
        <v>3938.6707255446991</v>
      </c>
      <c r="J146" s="384">
        <f>SUMIF('9.Non-elective admissions - Map'!$C$5:$C$870,'10.Non-elective admissions -HWB'!$D146,'9.Non-elective admissions - Map'!N$5:N$870)</f>
        <v>3566.8989631896497</v>
      </c>
      <c r="K146" s="384">
        <f>SUMIF('9.Non-elective admissions - Map'!$C$5:$C$870,'10.Non-elective admissions -HWB'!$D146,'9.Non-elective admissions - Map'!O$5:O$870)</f>
        <v>3596.6695178954487</v>
      </c>
      <c r="L146" s="384">
        <f>SUMIF('9.Non-elective admissions - Map'!$C$5:$C$870,'10.Non-elective admissions -HWB'!$D146,'9.Non-elective admissions - Map'!P$5:P$870)</f>
        <v>3897.427377788651</v>
      </c>
      <c r="M146" s="384">
        <f>SUMIF('9.Non-elective admissions - Map'!$C$5:$C$870,'10.Non-elective admissions -HWB'!$D146,'9.Non-elective admissions - Map'!Q$5:Q$870)</f>
        <v>3699.0985021056181</v>
      </c>
      <c r="N146" s="384">
        <f>SUMIF('9.Non-elective admissions - Map'!$C$5:$C$870,'10.Non-elective admissions -HWB'!$D146,'9.Non-elective admissions - Map'!R$5:R$870)</f>
        <v>3300.6801593895798</v>
      </c>
      <c r="O146" s="384">
        <f>SUMIF('9.Non-elective admissions - Map'!$C$5:$C$870,'10.Non-elective admissions -HWB'!$D146,'9.Non-elective admissions - Map'!S$5:S$870)</f>
        <v>3333.3929768212051</v>
      </c>
      <c r="P146" s="384">
        <f>SUMIF('9.Non-elective admissions - Map'!$C$5:$C$870,'10.Non-elective admissions -HWB'!$D146,'9.Non-elective admissions - Map'!T$5:T$870)</f>
        <v>3607.1191545297224</v>
      </c>
      <c r="Q146" s="384">
        <f>SUMIF('9.Non-elective admissions - Map'!$C$5:$C$870,'10.Non-elective admissions -HWB'!$D146,'9.Non-elective admissions - Map'!U$5:U$870)</f>
        <v>3421.3289246721229</v>
      </c>
    </row>
    <row r="147" spans="1:17">
      <c r="A147" s="380" t="s">
        <v>1238</v>
      </c>
      <c r="B147" s="381" t="s">
        <v>918</v>
      </c>
      <c r="C147" s="381" t="s">
        <v>919</v>
      </c>
      <c r="D147" s="381" t="s">
        <v>790</v>
      </c>
      <c r="E147" s="382" t="s">
        <v>486</v>
      </c>
      <c r="F147" s="384">
        <f>SUMIF('9.Non-elective admissions - Map'!$C$5:$C$870,'10.Non-elective admissions -HWB'!$D147,'9.Non-elective admissions - Map'!J$5:J$870)</f>
        <v>2615.6013120144235</v>
      </c>
      <c r="G147" s="384">
        <f>SUMIF('9.Non-elective admissions - Map'!$C$5:$C$870,'10.Non-elective admissions -HWB'!$D147,'9.Non-elective admissions - Map'!K$5:K$870)</f>
        <v>2610.5839273863858</v>
      </c>
      <c r="H147" s="384">
        <f>SUMIF('9.Non-elective admissions - Map'!$C$5:$C$870,'10.Non-elective admissions -HWB'!$D147,'9.Non-elective admissions - Map'!L$5:L$870)</f>
        <v>2700.8921301299133</v>
      </c>
      <c r="I147" s="384">
        <f>SUMIF('9.Non-elective admissions - Map'!$C$5:$C$870,'10.Non-elective admissions -HWB'!$D147,'9.Non-elective admissions - Map'!M$5:M$870)</f>
        <v>2557.9648963626137</v>
      </c>
      <c r="J147" s="384">
        <f>SUMIF('9.Non-elective admissions - Map'!$C$5:$C$870,'10.Non-elective admissions -HWB'!$D147,'9.Non-elective admissions - Map'!N$5:N$870)</f>
        <v>2660.3161661096606</v>
      </c>
      <c r="K147" s="384">
        <f>SUMIF('9.Non-elective admissions - Map'!$C$5:$C$870,'10.Non-elective admissions -HWB'!$D147,'9.Non-elective admissions - Map'!O$5:O$870)</f>
        <v>2598.0810496252966</v>
      </c>
      <c r="L147" s="384">
        <f>SUMIF('9.Non-elective admissions - Map'!$C$5:$C$870,'10.Non-elective admissions -HWB'!$D147,'9.Non-elective admissions - Map'!P$5:P$870)</f>
        <v>2716.6090408286404</v>
      </c>
      <c r="M147" s="384">
        <f>SUMIF('9.Non-elective admissions - Map'!$C$5:$C$870,'10.Non-elective admissions -HWB'!$D147,'9.Non-elective admissions - Map'!Q$5:Q$870)</f>
        <v>2556.8700762836684</v>
      </c>
      <c r="N147" s="384">
        <f>SUMIF('9.Non-elective admissions - Map'!$C$5:$C$870,'10.Non-elective admissions -HWB'!$D147,'9.Non-elective admissions - Map'!R$5:R$870)</f>
        <v>2614.5442258687708</v>
      </c>
      <c r="O147" s="384">
        <f>SUMIF('9.Non-elective admissions - Map'!$C$5:$C$870,'10.Non-elective admissions -HWB'!$D147,'9.Non-elective admissions - Map'!S$5:S$870)</f>
        <v>2592.9052220410886</v>
      </c>
      <c r="P147" s="384">
        <f>SUMIF('9.Non-elective admissions - Map'!$C$5:$C$870,'10.Non-elective admissions -HWB'!$D147,'9.Non-elective admissions - Map'!T$5:T$870)</f>
        <v>2708.200683315576</v>
      </c>
      <c r="Q147" s="384">
        <f>SUMIF('9.Non-elective admissions - Map'!$C$5:$C$870,'10.Non-elective admissions -HWB'!$D147,'9.Non-elective admissions - Map'!U$5:U$870)</f>
        <v>2587.1571078520888</v>
      </c>
    </row>
    <row r="148" spans="1:17">
      <c r="A148" s="380" t="s">
        <v>1238</v>
      </c>
      <c r="B148" s="381" t="s">
        <v>918</v>
      </c>
      <c r="C148" s="381" t="s">
        <v>919</v>
      </c>
      <c r="D148" s="381" t="s">
        <v>795</v>
      </c>
      <c r="E148" s="382" t="s">
        <v>501</v>
      </c>
      <c r="F148" s="384">
        <f>SUMIF('9.Non-elective admissions - Map'!$C$5:$C$870,'10.Non-elective admissions -HWB'!$D148,'9.Non-elective admissions - Map'!J$5:J$870)</f>
        <v>2917.8611620593351</v>
      </c>
      <c r="G148" s="384">
        <f>SUMIF('9.Non-elective admissions - Map'!$C$5:$C$870,'10.Non-elective admissions -HWB'!$D148,'9.Non-elective admissions - Map'!K$5:K$870)</f>
        <v>2983.4529137830918</v>
      </c>
      <c r="H148" s="384">
        <f>SUMIF('9.Non-elective admissions - Map'!$C$5:$C$870,'10.Non-elective admissions -HWB'!$D148,'9.Non-elective admissions - Map'!L$5:L$870)</f>
        <v>3189.3370251401011</v>
      </c>
      <c r="I148" s="384">
        <f>SUMIF('9.Non-elective admissions - Map'!$C$5:$C$870,'10.Non-elective admissions -HWB'!$D148,'9.Non-elective admissions - Map'!M$5:M$870)</f>
        <v>3128.4190166490375</v>
      </c>
      <c r="J148" s="384">
        <f>SUMIF('9.Non-elective admissions - Map'!$C$5:$C$870,'10.Non-elective admissions -HWB'!$D148,'9.Non-elective admissions - Map'!N$5:N$870)</f>
        <v>2716.7132953373425</v>
      </c>
      <c r="K148" s="384">
        <f>SUMIF('9.Non-elective admissions - Map'!$C$5:$C$870,'10.Non-elective admissions -HWB'!$D148,'9.Non-elective admissions - Map'!O$5:O$870)</f>
        <v>2764.3351455684046</v>
      </c>
      <c r="L148" s="384">
        <f>SUMIF('9.Non-elective admissions - Map'!$C$5:$C$870,'10.Non-elective admissions -HWB'!$D148,'9.Non-elective admissions - Map'!P$5:P$870)</f>
        <v>2956.3086961038348</v>
      </c>
      <c r="M148" s="384">
        <f>SUMIF('9.Non-elective admissions - Map'!$C$5:$C$870,'10.Non-elective admissions -HWB'!$D148,'9.Non-elective admissions - Map'!Q$5:Q$870)</f>
        <v>2815.5452388707045</v>
      </c>
      <c r="N148" s="384">
        <f>SUMIF('9.Non-elective admissions - Map'!$C$5:$C$870,'10.Non-elective admissions -HWB'!$D148,'9.Non-elective admissions - Map'!R$5:R$870)</f>
        <v>2754.7074361574173</v>
      </c>
      <c r="O148" s="384">
        <f>SUMIF('9.Non-elective admissions - Map'!$C$5:$C$870,'10.Non-elective admissions -HWB'!$D148,'9.Non-elective admissions - Map'!S$5:S$870)</f>
        <v>2807.0035820220346</v>
      </c>
      <c r="P148" s="384">
        <f>SUMIF('9.Non-elective admissions - Map'!$C$5:$C$870,'10.Non-elective admissions -HWB'!$D148,'9.Non-elective admissions - Map'!T$5:T$870)</f>
        <v>3000.1534730456269</v>
      </c>
      <c r="Q148" s="384">
        <f>SUMIF('9.Non-elective admissions - Map'!$C$5:$C$870,'10.Non-elective admissions -HWB'!$D148,'9.Non-elective admissions - Map'!U$5:U$870)</f>
        <v>2858.3174979304222</v>
      </c>
    </row>
    <row r="149" spans="1:17">
      <c r="A149" s="380" t="s">
        <v>1238</v>
      </c>
      <c r="B149" s="381" t="s">
        <v>918</v>
      </c>
      <c r="C149" s="381" t="s">
        <v>919</v>
      </c>
      <c r="D149" s="381" t="s">
        <v>797</v>
      </c>
      <c r="E149" s="382" t="s">
        <v>507</v>
      </c>
      <c r="F149" s="384">
        <f>SUMIF('9.Non-elective admissions - Map'!$C$5:$C$870,'10.Non-elective admissions -HWB'!$D149,'9.Non-elective admissions - Map'!J$5:J$870)</f>
        <v>2379.4329173803144</v>
      </c>
      <c r="G149" s="384">
        <f>SUMIF('9.Non-elective admissions - Map'!$C$5:$C$870,'10.Non-elective admissions -HWB'!$D149,'9.Non-elective admissions - Map'!K$5:K$870)</f>
        <v>2383.6493273292235</v>
      </c>
      <c r="H149" s="384">
        <f>SUMIF('9.Non-elective admissions - Map'!$C$5:$C$870,'10.Non-elective admissions -HWB'!$D149,'9.Non-elective admissions - Map'!L$5:L$870)</f>
        <v>2560.063199902479</v>
      </c>
      <c r="I149" s="384">
        <f>SUMIF('9.Non-elective admissions - Map'!$C$5:$C$870,'10.Non-elective admissions -HWB'!$D149,'9.Non-elective admissions - Map'!M$5:M$870)</f>
        <v>2519.4134916877892</v>
      </c>
      <c r="J149" s="384">
        <f>SUMIF('9.Non-elective admissions - Map'!$C$5:$C$870,'10.Non-elective admissions -HWB'!$D149,'9.Non-elective admissions - Map'!N$5:N$870)</f>
        <v>2423.9381585223073</v>
      </c>
      <c r="K149" s="384">
        <f>SUMIF('9.Non-elective admissions - Map'!$C$5:$C$870,'10.Non-elective admissions -HWB'!$D149,'9.Non-elective admissions - Map'!O$5:O$870)</f>
        <v>2358.9130744227682</v>
      </c>
      <c r="L149" s="384">
        <f>SUMIF('9.Non-elective admissions - Map'!$C$5:$C$870,'10.Non-elective admissions -HWB'!$D149,'9.Non-elective admissions - Map'!P$5:P$870)</f>
        <v>2465.6190433003435</v>
      </c>
      <c r="M149" s="384">
        <f>SUMIF('9.Non-elective admissions - Map'!$C$5:$C$870,'10.Non-elective admissions -HWB'!$D149,'9.Non-elective admissions - Map'!Q$5:Q$870)</f>
        <v>2306.4140151732117</v>
      </c>
      <c r="N149" s="384">
        <f>SUMIF('9.Non-elective admissions - Map'!$C$5:$C$870,'10.Non-elective admissions -HWB'!$D149,'9.Non-elective admissions - Map'!R$5:R$870)</f>
        <v>2378.1422646975825</v>
      </c>
      <c r="O149" s="384">
        <f>SUMIF('9.Non-elective admissions - Map'!$C$5:$C$870,'10.Non-elective admissions -HWB'!$D149,'9.Non-elective admissions - Map'!S$5:S$870)</f>
        <v>2359.4834140215271</v>
      </c>
      <c r="P149" s="384">
        <f>SUMIF('9.Non-elective admissions - Map'!$C$5:$C$870,'10.Non-elective admissions -HWB'!$D149,'9.Non-elective admissions - Map'!T$5:T$870)</f>
        <v>2463.2822025787332</v>
      </c>
      <c r="Q149" s="384">
        <f>SUMIF('9.Non-elective admissions - Map'!$C$5:$C$870,'10.Non-elective admissions -HWB'!$D149,'9.Non-elective admissions - Map'!U$5:U$870)</f>
        <v>2352.1340348244521</v>
      </c>
    </row>
    <row r="150" spans="1:17">
      <c r="A150" s="380" t="s">
        <v>1238</v>
      </c>
      <c r="B150" s="381" t="s">
        <v>915</v>
      </c>
      <c r="C150" s="381" t="s">
        <v>916</v>
      </c>
      <c r="D150" s="381" t="s">
        <v>917</v>
      </c>
      <c r="E150" s="382" t="s">
        <v>60</v>
      </c>
      <c r="F150" s="384">
        <f>SUMIF('9.Non-elective admissions - Map'!$C$5:$C$870,'10.Non-elective admissions -HWB'!$D150,'9.Non-elective admissions - Map'!J$5:J$870)</f>
        <v>8994.9757250378898</v>
      </c>
      <c r="G150" s="384">
        <f>SUMIF('9.Non-elective admissions - Map'!$C$5:$C$870,'10.Non-elective admissions -HWB'!$D150,'9.Non-elective admissions - Map'!K$5:K$870)</f>
        <v>9151.5050476508513</v>
      </c>
      <c r="H150" s="384">
        <f>SUMIF('9.Non-elective admissions - Map'!$C$5:$C$870,'10.Non-elective admissions -HWB'!$D150,'9.Non-elective admissions - Map'!L$5:L$870)</f>
        <v>9464.1086657761571</v>
      </c>
      <c r="I150" s="384">
        <f>SUMIF('9.Non-elective admissions - Map'!$C$5:$C$870,'10.Non-elective admissions -HWB'!$D150,'9.Non-elective admissions - Map'!M$5:M$870)</f>
        <v>9626.5533406971663</v>
      </c>
      <c r="J150" s="384">
        <f>SUMIF('9.Non-elective admissions - Map'!$C$5:$C$870,'10.Non-elective admissions -HWB'!$D150,'9.Non-elective admissions - Map'!N$5:N$870)</f>
        <v>8765.1870392252567</v>
      </c>
      <c r="K150" s="384">
        <f>SUMIF('9.Non-elective admissions - Map'!$C$5:$C$870,'10.Non-elective admissions -HWB'!$D150,'9.Non-elective admissions - Map'!O$5:O$870)</f>
        <v>8907.610521719027</v>
      </c>
      <c r="L150" s="384">
        <f>SUMIF('9.Non-elective admissions - Map'!$C$5:$C$870,'10.Non-elective admissions -HWB'!$D150,'9.Non-elective admissions - Map'!P$5:P$870)</f>
        <v>9228.4046276554745</v>
      </c>
      <c r="M150" s="384">
        <f>SUMIF('9.Non-elective admissions - Map'!$C$5:$C$870,'10.Non-elective admissions -HWB'!$D150,'9.Non-elective admissions - Map'!Q$5:Q$870)</f>
        <v>9093.7166058722287</v>
      </c>
      <c r="N150" s="384">
        <f>SUMIF('9.Non-elective admissions - Map'!$C$5:$C$870,'10.Non-elective admissions -HWB'!$D150,'9.Non-elective admissions - Map'!R$5:R$870)</f>
        <v>8546.3190038274806</v>
      </c>
      <c r="O150" s="384">
        <f>SUMIF('9.Non-elective admissions - Map'!$C$5:$C$870,'10.Non-elective admissions -HWB'!$D150,'9.Non-elective admissions - Map'!S$5:S$870)</f>
        <v>8685.1022695162992</v>
      </c>
      <c r="P150" s="384">
        <f>SUMIF('9.Non-elective admissions - Map'!$C$5:$C$870,'10.Non-elective admissions -HWB'!$D150,'9.Non-elective admissions - Map'!T$5:T$870)</f>
        <v>8998.6159418428415</v>
      </c>
      <c r="Q150" s="384">
        <f>SUMIF('9.Non-elective admissions - Map'!$C$5:$C$870,'10.Non-elective admissions -HWB'!$D150,'9.Non-elective admissions - Map'!U$5:U$870)</f>
        <v>8867.11310976393</v>
      </c>
    </row>
    <row r="151" spans="1:17">
      <c r="A151" s="380" t="s">
        <v>1238</v>
      </c>
      <c r="B151" s="381" t="s">
        <v>915</v>
      </c>
      <c r="C151" s="381" t="s">
        <v>916</v>
      </c>
      <c r="D151" s="381" t="s">
        <v>686</v>
      </c>
      <c r="E151" s="382" t="s">
        <v>158</v>
      </c>
      <c r="F151" s="384">
        <f>SUMIF('9.Non-elective admissions - Map'!$C$5:$C$870,'10.Non-elective admissions -HWB'!$D151,'9.Non-elective admissions - Map'!J$5:J$870)</f>
        <v>10846.89506804707</v>
      </c>
      <c r="G151" s="384">
        <f>SUMIF('9.Non-elective admissions - Map'!$C$5:$C$870,'10.Non-elective admissions -HWB'!$D151,'9.Non-elective admissions - Map'!K$5:K$870)</f>
        <v>11035.511801637647</v>
      </c>
      <c r="H151" s="384">
        <f>SUMIF('9.Non-elective admissions - Map'!$C$5:$C$870,'10.Non-elective admissions -HWB'!$D151,'9.Non-elective admissions - Map'!L$5:L$870)</f>
        <v>11405.781617311322</v>
      </c>
      <c r="I151" s="384">
        <f>SUMIF('9.Non-elective admissions - Map'!$C$5:$C$870,'10.Non-elective admissions -HWB'!$D151,'9.Non-elective admissions - Map'!M$5:M$870)</f>
        <v>11593.695122561061</v>
      </c>
      <c r="J151" s="384">
        <f>SUMIF('9.Non-elective admissions - Map'!$C$5:$C$870,'10.Non-elective admissions -HWB'!$D151,'9.Non-elective admissions - Map'!N$5:N$870)</f>
        <v>10595.094622451708</v>
      </c>
      <c r="K151" s="384">
        <f>SUMIF('9.Non-elective admissions - Map'!$C$5:$C$870,'10.Non-elective admissions -HWB'!$D151,'9.Non-elective admissions - Map'!O$5:O$870)</f>
        <v>10762.974998886433</v>
      </c>
      <c r="L151" s="384">
        <f>SUMIF('9.Non-elective admissions - Map'!$C$5:$C$870,'10.Non-elective admissions -HWB'!$D151,'9.Non-elective admissions - Map'!P$5:P$870)</f>
        <v>11151.545272916144</v>
      </c>
      <c r="M151" s="384">
        <f>SUMIF('9.Non-elective admissions - Map'!$C$5:$C$870,'10.Non-elective admissions -HWB'!$D151,'9.Non-elective admissions - Map'!Q$5:Q$870)</f>
        <v>10988.311871527834</v>
      </c>
      <c r="N151" s="384">
        <f>SUMIF('9.Non-elective admissions - Map'!$C$5:$C$870,'10.Non-elective admissions -HWB'!$D151,'9.Non-elective admissions - Map'!R$5:R$870)</f>
        <v>10339.615059597758</v>
      </c>
      <c r="O151" s="384">
        <f>SUMIF('9.Non-elective admissions - Map'!$C$5:$C$870,'10.Non-elective admissions -HWB'!$D151,'9.Non-elective admissions - Map'!S$5:S$870)</f>
        <v>10503.094626935012</v>
      </c>
      <c r="P151" s="384">
        <f>SUMIF('9.Non-elective admissions - Map'!$C$5:$C$870,'10.Non-elective admissions -HWB'!$D151,'9.Non-elective admissions - Map'!T$5:T$870)</f>
        <v>10883.110879419151</v>
      </c>
      <c r="Q151" s="384">
        <f>SUMIF('9.Non-elective admissions - Map'!$C$5:$C$870,'10.Non-elective admissions -HWB'!$D151,'9.Non-elective admissions - Map'!U$5:U$870)</f>
        <v>10726.930467814058</v>
      </c>
    </row>
    <row r="152" spans="1:17">
      <c r="A152" s="380" t="s">
        <v>1238</v>
      </c>
      <c r="B152" s="381" t="s">
        <v>915</v>
      </c>
      <c r="C152" s="381" t="s">
        <v>916</v>
      </c>
      <c r="D152" s="381" t="s">
        <v>699</v>
      </c>
      <c r="E152" s="382" t="s">
        <v>205</v>
      </c>
      <c r="F152" s="384">
        <f>SUMIF('9.Non-elective admissions - Map'!$C$5:$C$870,'10.Non-elective admissions -HWB'!$D152,'9.Non-elective admissions - Map'!J$5:J$870)</f>
        <v>30096.903313173993</v>
      </c>
      <c r="G152" s="384">
        <f>SUMIF('9.Non-elective admissions - Map'!$C$5:$C$870,'10.Non-elective admissions -HWB'!$D152,'9.Non-elective admissions - Map'!K$5:K$870)</f>
        <v>30368.801593709402</v>
      </c>
      <c r="H152" s="384">
        <f>SUMIF('9.Non-elective admissions - Map'!$C$5:$C$870,'10.Non-elective admissions -HWB'!$D152,'9.Non-elective admissions - Map'!L$5:L$870)</f>
        <v>31368.265181843119</v>
      </c>
      <c r="I152" s="384">
        <f>SUMIF('9.Non-elective admissions - Map'!$C$5:$C$870,'10.Non-elective admissions -HWB'!$D152,'9.Non-elective admissions - Map'!M$5:M$870)</f>
        <v>30392.738494622612</v>
      </c>
      <c r="J152" s="384">
        <f>SUMIF('9.Non-elective admissions - Map'!$C$5:$C$870,'10.Non-elective admissions -HWB'!$D152,'9.Non-elective admissions - Map'!N$5:N$870)</f>
        <v>29706.101915083691</v>
      </c>
      <c r="K152" s="384">
        <f>SUMIF('9.Non-elective admissions - Map'!$C$5:$C$870,'10.Non-elective admissions -HWB'!$D152,'9.Non-elective admissions - Map'!O$5:O$870)</f>
        <v>29598.463359311398</v>
      </c>
      <c r="L152" s="384">
        <f>SUMIF('9.Non-elective admissions - Map'!$C$5:$C$870,'10.Non-elective admissions -HWB'!$D152,'9.Non-elective admissions - Map'!P$5:P$870)</f>
        <v>30677.102013025833</v>
      </c>
      <c r="M152" s="384">
        <f>SUMIF('9.Non-elective admissions - Map'!$C$5:$C$870,'10.Non-elective admissions -HWB'!$D152,'9.Non-elective admissions - Map'!Q$5:Q$870)</f>
        <v>30715.373686594485</v>
      </c>
      <c r="N152" s="384">
        <f>SUMIF('9.Non-elective admissions - Map'!$C$5:$C$870,'10.Non-elective admissions -HWB'!$D152,'9.Non-elective admissions - Map'!R$5:R$870)</f>
        <v>29099.143846965788</v>
      </c>
      <c r="O152" s="384">
        <f>SUMIF('9.Non-elective admissions - Map'!$C$5:$C$870,'10.Non-elective admissions -HWB'!$D152,'9.Non-elective admissions - Map'!S$5:S$870)</f>
        <v>28992.288164835089</v>
      </c>
      <c r="P152" s="384">
        <f>SUMIF('9.Non-elective admissions - Map'!$C$5:$C$870,'10.Non-elective admissions -HWB'!$D152,'9.Non-elective admissions - Map'!T$5:T$870)</f>
        <v>30337.737498166458</v>
      </c>
      <c r="Q152" s="384">
        <f>SUMIF('9.Non-elective admissions - Map'!$C$5:$C$870,'10.Non-elective admissions -HWB'!$D152,'9.Non-elective admissions - Map'!U$5:U$870)</f>
        <v>30699.68358913096</v>
      </c>
    </row>
    <row r="153" spans="1:17">
      <c r="A153" s="380" t="s">
        <v>1238</v>
      </c>
      <c r="B153" s="381" t="s">
        <v>915</v>
      </c>
      <c r="C153" s="381" t="s">
        <v>916</v>
      </c>
      <c r="D153" s="381" t="s">
        <v>708</v>
      </c>
      <c r="E153" s="382" t="s">
        <v>238</v>
      </c>
      <c r="F153" s="384">
        <f>SUMIF('9.Non-elective admissions - Map'!$C$5:$C$870,'10.Non-elective admissions -HWB'!$D153,'9.Non-elective admissions - Map'!J$5:J$870)</f>
        <v>3003</v>
      </c>
      <c r="G153" s="384">
        <f>SUMIF('9.Non-elective admissions - Map'!$C$5:$C$870,'10.Non-elective admissions -HWB'!$D153,'9.Non-elective admissions - Map'!K$5:K$870)</f>
        <v>2869</v>
      </c>
      <c r="H153" s="384">
        <f>SUMIF('9.Non-elective admissions - Map'!$C$5:$C$870,'10.Non-elective admissions -HWB'!$D153,'9.Non-elective admissions - Map'!L$5:L$870)</f>
        <v>3165</v>
      </c>
      <c r="I153" s="384">
        <f>SUMIF('9.Non-elective admissions - Map'!$C$5:$C$870,'10.Non-elective admissions -HWB'!$D153,'9.Non-elective admissions - Map'!M$5:M$870)</f>
        <v>2819</v>
      </c>
      <c r="J153" s="384">
        <f>SUMIF('9.Non-elective admissions - Map'!$C$5:$C$870,'10.Non-elective admissions -HWB'!$D153,'9.Non-elective admissions - Map'!N$5:N$870)</f>
        <v>3090</v>
      </c>
      <c r="K153" s="384">
        <f>SUMIF('9.Non-elective admissions - Map'!$C$5:$C$870,'10.Non-elective admissions -HWB'!$D153,'9.Non-elective admissions - Map'!O$5:O$870)</f>
        <v>3081</v>
      </c>
      <c r="L153" s="384">
        <f>SUMIF('9.Non-elective admissions - Map'!$C$5:$C$870,'10.Non-elective admissions -HWB'!$D153,'9.Non-elective admissions - Map'!P$5:P$870)</f>
        <v>3073</v>
      </c>
      <c r="M153" s="384">
        <f>SUMIF('9.Non-elective admissions - Map'!$C$5:$C$870,'10.Non-elective admissions -HWB'!$D153,'9.Non-elective admissions - Map'!Q$5:Q$870)</f>
        <v>3063</v>
      </c>
      <c r="N153" s="384">
        <f>SUMIF('9.Non-elective admissions - Map'!$C$5:$C$870,'10.Non-elective admissions -HWB'!$D153,'9.Non-elective admissions - Map'!R$5:R$870)</f>
        <v>3139</v>
      </c>
      <c r="O153" s="384">
        <f>SUMIF('9.Non-elective admissions - Map'!$C$5:$C$870,'10.Non-elective admissions -HWB'!$D153,'9.Non-elective admissions - Map'!S$5:S$870)</f>
        <v>3128</v>
      </c>
      <c r="P153" s="384">
        <f>SUMIF('9.Non-elective admissions - Map'!$C$5:$C$870,'10.Non-elective admissions -HWB'!$D153,'9.Non-elective admissions - Map'!T$5:T$870)</f>
        <v>3119</v>
      </c>
      <c r="Q153" s="384">
        <f>SUMIF('9.Non-elective admissions - Map'!$C$5:$C$870,'10.Non-elective admissions -HWB'!$D153,'9.Non-elective admissions - Map'!U$5:U$870)</f>
        <v>3112</v>
      </c>
    </row>
    <row r="154" spans="1:17">
      <c r="A154" s="380" t="s">
        <v>1238</v>
      </c>
      <c r="B154" s="381" t="s">
        <v>915</v>
      </c>
      <c r="C154" s="381" t="s">
        <v>916</v>
      </c>
      <c r="D154" s="381" t="s">
        <v>747</v>
      </c>
      <c r="E154" s="382" t="s">
        <v>357</v>
      </c>
      <c r="F154" s="384">
        <f>SUMIF('9.Non-elective admissions - Map'!$C$5:$C$870,'10.Non-elective admissions -HWB'!$D154,'9.Non-elective admissions - Map'!J$5:J$870)</f>
        <v>4835.9042806897714</v>
      </c>
      <c r="G154" s="384">
        <f>SUMIF('9.Non-elective admissions - Map'!$C$5:$C$870,'10.Non-elective admissions -HWB'!$D154,'9.Non-elective admissions - Map'!K$5:K$870)</f>
        <v>4726.9886393625848</v>
      </c>
      <c r="H154" s="384">
        <f>SUMIF('9.Non-elective admissions - Map'!$C$5:$C$870,'10.Non-elective admissions -HWB'!$D154,'9.Non-elective admissions - Map'!L$5:L$870)</f>
        <v>5201.594918508812</v>
      </c>
      <c r="I154" s="384">
        <f>SUMIF('9.Non-elective admissions - Map'!$C$5:$C$870,'10.Non-elective admissions -HWB'!$D154,'9.Non-elective admissions - Map'!M$5:M$870)</f>
        <v>4870.7545897970631</v>
      </c>
      <c r="J154" s="384">
        <f>SUMIF('9.Non-elective admissions - Map'!$C$5:$C$870,'10.Non-elective admissions -HWB'!$D154,'9.Non-elective admissions - Map'!N$5:N$870)</f>
        <v>4708.0625852182047</v>
      </c>
      <c r="K154" s="384">
        <f>SUMIF('9.Non-elective admissions - Map'!$C$5:$C$870,'10.Non-elective admissions -HWB'!$D154,'9.Non-elective admissions - Map'!O$5:O$870)</f>
        <v>4631.6272623920022</v>
      </c>
      <c r="L154" s="384">
        <f>SUMIF('9.Non-elective admissions - Map'!$C$5:$C$870,'10.Non-elective admissions -HWB'!$D154,'9.Non-elective admissions - Map'!P$5:P$870)</f>
        <v>4701.397152833556</v>
      </c>
      <c r="M154" s="384">
        <f>SUMIF('9.Non-elective admissions - Map'!$C$5:$C$870,'10.Non-elective admissions -HWB'!$D154,'9.Non-elective admissions - Map'!Q$5:Q$870)</f>
        <v>4684.7967017837427</v>
      </c>
      <c r="N154" s="384">
        <f>SUMIF('9.Non-elective admissions - Map'!$C$5:$C$870,'10.Non-elective admissions -HWB'!$D154,'9.Non-elective admissions - Map'!R$5:R$870)</f>
        <v>4505.3051494284309</v>
      </c>
      <c r="O154" s="384">
        <f>SUMIF('9.Non-elective admissions - Map'!$C$5:$C$870,'10.Non-elective admissions -HWB'!$D154,'9.Non-elective admissions - Map'!S$5:S$870)</f>
        <v>4428.8854077323886</v>
      </c>
      <c r="P154" s="384">
        <f>SUMIF('9.Non-elective admissions - Map'!$C$5:$C$870,'10.Non-elective admissions -HWB'!$D154,'9.Non-elective admissions - Map'!T$5:T$870)</f>
        <v>4729.885343138405</v>
      </c>
      <c r="Q154" s="384">
        <f>SUMIF('9.Non-elective admissions - Map'!$C$5:$C$870,'10.Non-elective admissions -HWB'!$D154,'9.Non-elective admissions - Map'!U$5:U$870)</f>
        <v>4752.0787293627836</v>
      </c>
    </row>
    <row r="155" spans="1:17" ht="15.75" thickBot="1">
      <c r="A155" s="385" t="s">
        <v>1238</v>
      </c>
      <c r="B155" s="386" t="s">
        <v>915</v>
      </c>
      <c r="C155" s="386" t="s">
        <v>916</v>
      </c>
      <c r="D155" s="386" t="s">
        <v>765</v>
      </c>
      <c r="E155" s="387" t="s">
        <v>411</v>
      </c>
      <c r="F155" s="384">
        <f>SUMIF('9.Non-elective admissions - Map'!$C$5:$C$870,'10.Non-elective admissions -HWB'!$D155,'9.Non-elective admissions - Map'!J$5:J$870)</f>
        <v>7109.6642383585358</v>
      </c>
      <c r="G155" s="384">
        <f>SUMIF('9.Non-elective admissions - Map'!$C$5:$C$870,'10.Non-elective admissions -HWB'!$D155,'9.Non-elective admissions - Map'!K$5:K$870)</f>
        <v>7031.8039697646091</v>
      </c>
      <c r="H155" s="384">
        <f>SUMIF('9.Non-elective admissions - Map'!$C$5:$C$870,'10.Non-elective admissions -HWB'!$D155,'9.Non-elective admissions - Map'!L$5:L$870)</f>
        <v>7349.3550913086974</v>
      </c>
      <c r="I155" s="384">
        <f>SUMIF('9.Non-elective admissions - Map'!$C$5:$C$870,'10.Non-elective admissions -HWB'!$D155,'9.Non-elective admissions - Map'!M$5:M$870)</f>
        <v>6939.751618822741</v>
      </c>
      <c r="J155" s="384">
        <f>SUMIF('9.Non-elective admissions - Map'!$C$5:$C$870,'10.Non-elective admissions -HWB'!$D155,'9.Non-elective admissions - Map'!N$5:N$870)</f>
        <v>7094.9682026884657</v>
      </c>
      <c r="K155" s="384">
        <f>SUMIF('9.Non-elective admissions - Map'!$C$5:$C$870,'10.Non-elective admissions -HWB'!$D155,'9.Non-elective admissions - Map'!O$5:O$870)</f>
        <v>7079.1026688833836</v>
      </c>
      <c r="L155" s="384">
        <f>SUMIF('9.Non-elective admissions - Map'!$C$5:$C$870,'10.Non-elective admissions -HWB'!$D155,'9.Non-elective admissions - Map'!P$5:P$870)</f>
        <v>7360.1116688013217</v>
      </c>
      <c r="M155" s="384">
        <f>SUMIF('9.Non-elective admissions - Map'!$C$5:$C$870,'10.Non-elective admissions -HWB'!$D155,'9.Non-elective admissions - Map'!Q$5:Q$870)</f>
        <v>7189.0348609705497</v>
      </c>
      <c r="N155" s="384">
        <f>SUMIF('9.Non-elective admissions - Map'!$C$5:$C$870,'10.Non-elective admissions -HWB'!$D155,'9.Non-elective admissions - Map'!R$5:R$870)</f>
        <v>7028.0470253092635</v>
      </c>
      <c r="O155" s="384">
        <f>SUMIF('9.Non-elective admissions - Map'!$C$5:$C$870,'10.Non-elective admissions -HWB'!$D155,'9.Non-elective admissions - Map'!S$5:S$870)</f>
        <v>7012.1650074221288</v>
      </c>
      <c r="P155" s="384">
        <f>SUMIF('9.Non-elective admissions - Map'!$C$5:$C$870,'10.Non-elective admissions -HWB'!$D155,'9.Non-elective admissions - Map'!T$5:T$870)</f>
        <v>7290.343420809455</v>
      </c>
      <c r="Q155" s="384">
        <f>SUMIF('9.Non-elective admissions - Map'!$C$5:$C$870,'10.Non-elective admissions -HWB'!$D155,'9.Non-elective admissions - Map'!U$5:U$870)</f>
        <v>7201.6338517613558</v>
      </c>
    </row>
    <row r="156" spans="1:17" s="398" customFormat="1" ht="15.75" thickBot="1">
      <c r="E156" s="398" t="s">
        <v>644</v>
      </c>
      <c r="F156" s="491">
        <f>SUM(F5:F155)</f>
        <v>1333471</v>
      </c>
      <c r="G156" s="492">
        <f t="shared" ref="G156:N156" si="0">SUM(G5:G155)</f>
        <v>1322137</v>
      </c>
      <c r="H156" s="492">
        <f t="shared" si="0"/>
        <v>1373818.0000000007</v>
      </c>
      <c r="I156" s="493">
        <f t="shared" si="0"/>
        <v>1364836.9999999998</v>
      </c>
      <c r="J156" s="391">
        <f t="shared" si="0"/>
        <v>1356745.5244463098</v>
      </c>
      <c r="K156" s="391">
        <f t="shared" si="0"/>
        <v>1357444.8625149059</v>
      </c>
      <c r="L156" s="391">
        <f t="shared" si="0"/>
        <v>1383126.0856959901</v>
      </c>
      <c r="M156" s="391">
        <f t="shared" si="0"/>
        <v>1361515.6817551136</v>
      </c>
      <c r="N156" s="391">
        <f t="shared" si="0"/>
        <v>1289364.2717483202</v>
      </c>
      <c r="O156" s="391">
        <f t="shared" ref="O156" si="1">SUM(O5:O155)</f>
        <v>1289198.1695529197</v>
      </c>
      <c r="P156" s="391">
        <f t="shared" ref="P156" si="2">SUM(P5:P155)</f>
        <v>1319624.2063894381</v>
      </c>
      <c r="Q156" s="391">
        <f t="shared" ref="Q156" si="3">SUM(Q5:Q155)</f>
        <v>1301242.7527257572</v>
      </c>
    </row>
    <row r="158" spans="1:17">
      <c r="A158" s="362" t="s">
        <v>1248</v>
      </c>
    </row>
  </sheetData>
  <sheetProtection password="DABD" sheet="1" objects="1" scenarios="1" formatColumns="0" formatRows="0" autoFilter="0"/>
  <autoFilter ref="A4:A15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FK159"/>
  <sheetViews>
    <sheetView zoomScale="90" zoomScaleNormal="90" workbookViewId="0">
      <pane xSplit="4" ySplit="4" topLeftCell="FF5" activePane="bottomRight" state="frozen"/>
      <selection activeCell="AB14" sqref="AB14"/>
      <selection pane="topRight" activeCell="AB14" sqref="AB14"/>
      <selection pane="bottomLeft" activeCell="AB14" sqref="AB14"/>
      <selection pane="bottomRight" activeCell="AB14" sqref="AB14"/>
    </sheetView>
  </sheetViews>
  <sheetFormatPr defaultColWidth="9.109375" defaultRowHeight="15.05"/>
  <cols>
    <col min="1" max="1" width="9.109375" style="2"/>
    <col min="2" max="2" width="15.5546875" style="2" customWidth="1"/>
    <col min="3" max="3" width="12" style="2" customWidth="1"/>
    <col min="4" max="4" width="24.88671875" style="2" customWidth="1"/>
    <col min="5" max="6" width="20.6640625" style="14" customWidth="1"/>
    <col min="7" max="7" width="20.6640625" style="414" customWidth="1"/>
    <col min="8" max="9" width="20.6640625" style="14" customWidth="1"/>
    <col min="10" max="12" width="20.6640625" style="414" customWidth="1"/>
    <col min="13" max="14" width="20.6640625" style="14" customWidth="1"/>
    <col min="15" max="15" width="20.6640625" style="414" customWidth="1"/>
    <col min="16" max="16" width="18.44140625" style="14" customWidth="1"/>
    <col min="17" max="17" width="24.88671875" style="2" customWidth="1"/>
    <col min="18" max="18" width="23.5546875" style="14" customWidth="1"/>
    <col min="19" max="19" width="20.6640625" style="14" customWidth="1"/>
    <col min="20" max="20" width="20.6640625" style="447" customWidth="1"/>
    <col min="21" max="22" width="20.6640625" style="14" customWidth="1"/>
    <col min="23" max="23" width="20.6640625" style="447" customWidth="1"/>
    <col min="24" max="25" width="20.6640625" style="14" customWidth="1"/>
    <col min="26" max="26" width="20.6640625" style="447" customWidth="1"/>
    <col min="27" max="28" width="18.33203125" style="14" customWidth="1"/>
    <col min="29" max="29" width="24.88671875" style="2" customWidth="1"/>
    <col min="30" max="73" width="9.109375" style="14"/>
    <col min="74" max="77" width="10.5546875" style="14" customWidth="1"/>
    <col min="78" max="85" width="11.5546875" style="14" customWidth="1"/>
    <col min="86" max="86" width="17" style="14" customWidth="1"/>
    <col min="87" max="90" width="14.88671875" style="447" customWidth="1"/>
    <col min="91" max="91" width="24.88671875" style="2" customWidth="1"/>
    <col min="92" max="115" width="11.5546875" style="120" customWidth="1"/>
    <col min="116" max="161" width="9.109375" style="14"/>
    <col min="162" max="163" width="16.6640625" style="14" customWidth="1"/>
    <col min="164" max="164" width="16.6640625" style="447" customWidth="1"/>
    <col min="165" max="165" width="20.44140625" style="447" customWidth="1"/>
    <col min="166" max="167" width="20.109375" style="447" customWidth="1"/>
    <col min="168" max="16384" width="9.109375" style="14"/>
  </cols>
  <sheetData>
    <row r="1" spans="1:167" s="12" customFormat="1">
      <c r="A1" s="477"/>
      <c r="B1" s="331" t="s">
        <v>1278</v>
      </c>
      <c r="C1" s="331"/>
      <c r="D1" s="331"/>
      <c r="E1" s="332" t="s">
        <v>805</v>
      </c>
      <c r="F1" s="333"/>
      <c r="G1" s="405"/>
      <c r="H1" s="333"/>
      <c r="I1" s="333"/>
      <c r="J1" s="405"/>
      <c r="K1" s="415"/>
      <c r="L1" s="415"/>
      <c r="M1" s="334"/>
      <c r="N1" s="334"/>
      <c r="O1" s="415"/>
      <c r="P1" s="335"/>
      <c r="Q1" s="331"/>
      <c r="R1" s="332" t="s">
        <v>813</v>
      </c>
      <c r="S1" s="333"/>
      <c r="T1" s="448"/>
      <c r="U1" s="333"/>
      <c r="V1" s="333"/>
      <c r="W1" s="448"/>
      <c r="X1" s="333"/>
      <c r="Y1" s="336"/>
      <c r="Z1" s="439"/>
      <c r="AA1" s="337"/>
      <c r="AB1" s="337"/>
      <c r="AC1" s="331"/>
      <c r="AD1" s="338" t="s">
        <v>834</v>
      </c>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456"/>
      <c r="CJ1" s="456"/>
      <c r="CK1" s="456"/>
      <c r="CL1" s="457"/>
      <c r="CM1" s="331"/>
      <c r="CN1" s="339" t="s">
        <v>831</v>
      </c>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9"/>
      <c r="DM1" s="339"/>
      <c r="DN1" s="339"/>
      <c r="DO1" s="339"/>
      <c r="DP1" s="339"/>
      <c r="DQ1" s="339"/>
      <c r="DR1" s="339"/>
      <c r="DS1" s="339"/>
      <c r="DT1" s="339"/>
      <c r="DU1" s="339"/>
      <c r="DV1" s="339"/>
      <c r="DW1" s="339"/>
      <c r="DX1" s="339"/>
      <c r="DY1" s="339"/>
      <c r="DZ1" s="339"/>
      <c r="EA1" s="339"/>
      <c r="EB1" s="339"/>
      <c r="EC1" s="339"/>
      <c r="ED1" s="339"/>
      <c r="EE1" s="339"/>
      <c r="EF1" s="339"/>
      <c r="EG1" s="339"/>
      <c r="EH1" s="339"/>
      <c r="EI1" s="339"/>
      <c r="EJ1" s="339"/>
      <c r="EK1" s="339"/>
      <c r="EL1" s="339"/>
      <c r="EM1" s="339"/>
      <c r="EN1" s="339"/>
      <c r="EO1" s="339"/>
      <c r="EP1" s="339"/>
      <c r="EQ1" s="339"/>
      <c r="ER1" s="339"/>
      <c r="ES1" s="339"/>
      <c r="ET1" s="339"/>
      <c r="EU1" s="339"/>
      <c r="EV1" s="339"/>
      <c r="EW1" s="339"/>
      <c r="EX1" s="339"/>
      <c r="EY1" s="339"/>
      <c r="EZ1" s="339"/>
      <c r="FA1" s="339"/>
      <c r="FB1" s="339"/>
      <c r="FC1" s="339"/>
      <c r="FD1" s="339"/>
      <c r="FE1" s="339"/>
      <c r="FF1" s="339"/>
      <c r="FG1" s="339"/>
      <c r="FH1" s="471"/>
      <c r="FI1" s="471"/>
      <c r="FJ1" s="471"/>
      <c r="FK1" s="471"/>
    </row>
    <row r="2" spans="1:167">
      <c r="A2" s="340"/>
      <c r="B2" s="141"/>
      <c r="C2" s="141"/>
      <c r="D2" s="141"/>
      <c r="E2" s="341" t="s">
        <v>835</v>
      </c>
      <c r="F2" s="342"/>
      <c r="G2" s="406"/>
      <c r="H2" s="343" t="s">
        <v>836</v>
      </c>
      <c r="I2" s="342"/>
      <c r="J2" s="406"/>
      <c r="K2" s="406"/>
      <c r="L2" s="406"/>
      <c r="M2" s="344" t="s">
        <v>837</v>
      </c>
      <c r="N2" s="345"/>
      <c r="O2" s="419"/>
      <c r="P2" s="345"/>
      <c r="Q2" s="141"/>
      <c r="R2" s="347" t="s">
        <v>835</v>
      </c>
      <c r="S2" s="348"/>
      <c r="T2" s="449"/>
      <c r="U2" s="348" t="s">
        <v>838</v>
      </c>
      <c r="V2" s="348"/>
      <c r="W2" s="449"/>
      <c r="X2" s="349" t="s">
        <v>839</v>
      </c>
      <c r="Y2" s="350"/>
      <c r="Z2" s="440"/>
      <c r="AA2" s="350"/>
      <c r="AB2" s="350"/>
      <c r="AC2" s="141"/>
      <c r="AD2" s="351"/>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6"/>
      <c r="BW2" s="345"/>
      <c r="BX2" s="345"/>
      <c r="BY2" s="345"/>
      <c r="BZ2" s="346"/>
      <c r="CA2" s="345"/>
      <c r="CB2" s="345"/>
      <c r="CC2" s="345"/>
      <c r="CD2" s="345"/>
      <c r="CE2" s="345"/>
      <c r="CF2" s="345"/>
      <c r="CG2" s="345"/>
      <c r="CH2" s="352" t="s">
        <v>836</v>
      </c>
      <c r="CI2" s="458"/>
      <c r="CJ2" s="459"/>
      <c r="CK2" s="459"/>
      <c r="CL2" s="460"/>
      <c r="CM2" s="141"/>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3"/>
      <c r="EO2" s="353"/>
      <c r="EP2" s="353"/>
      <c r="EQ2" s="353"/>
      <c r="ER2" s="353"/>
      <c r="ES2" s="353"/>
      <c r="ET2" s="346"/>
      <c r="EU2" s="345"/>
      <c r="EV2" s="353"/>
      <c r="EW2" s="353"/>
      <c r="EX2" s="346"/>
      <c r="EY2" s="353"/>
      <c r="EZ2" s="353"/>
      <c r="FA2" s="353"/>
      <c r="FB2" s="353"/>
      <c r="FC2" s="353"/>
      <c r="FD2" s="353"/>
      <c r="FE2" s="353"/>
      <c r="FF2" s="346" t="s">
        <v>840</v>
      </c>
      <c r="FG2" s="353"/>
      <c r="FH2" s="472"/>
      <c r="FI2" s="472"/>
      <c r="FJ2" s="472"/>
      <c r="FK2" s="472"/>
    </row>
    <row r="3" spans="1:167" ht="15.05" customHeight="1" thickBot="1">
      <c r="A3" s="340"/>
      <c r="B3" s="141"/>
      <c r="C3" s="141"/>
      <c r="D3" s="141"/>
      <c r="E3" s="354" t="s">
        <v>841</v>
      </c>
      <c r="F3" s="355" t="s">
        <v>841</v>
      </c>
      <c r="G3" s="407" t="s">
        <v>842</v>
      </c>
      <c r="H3" s="354" t="s">
        <v>841</v>
      </c>
      <c r="I3" s="355" t="s">
        <v>841</v>
      </c>
      <c r="J3" s="407" t="s">
        <v>842</v>
      </c>
      <c r="K3" s="416"/>
      <c r="L3" s="416"/>
      <c r="M3" s="354" t="s">
        <v>841</v>
      </c>
      <c r="N3" s="355" t="s">
        <v>841</v>
      </c>
      <c r="O3" s="407" t="s">
        <v>842</v>
      </c>
      <c r="P3" s="15"/>
      <c r="Q3" s="13"/>
      <c r="R3" s="16" t="s">
        <v>841</v>
      </c>
      <c r="S3" s="17" t="s">
        <v>841</v>
      </c>
      <c r="T3" s="441" t="s">
        <v>842</v>
      </c>
      <c r="U3" s="16" t="s">
        <v>841</v>
      </c>
      <c r="V3" s="17" t="s">
        <v>841</v>
      </c>
      <c r="W3" s="441" t="s">
        <v>842</v>
      </c>
      <c r="X3" s="16" t="s">
        <v>841</v>
      </c>
      <c r="Y3" s="17" t="s">
        <v>841</v>
      </c>
      <c r="Z3" s="441" t="s">
        <v>842</v>
      </c>
      <c r="AA3" s="18"/>
      <c r="AB3" s="18"/>
      <c r="AC3" s="19"/>
      <c r="AD3" s="20">
        <v>1</v>
      </c>
      <c r="AE3" s="21">
        <v>2</v>
      </c>
      <c r="AF3" s="21">
        <v>3</v>
      </c>
      <c r="AG3" s="21">
        <v>4</v>
      </c>
      <c r="AH3" s="21">
        <v>5</v>
      </c>
      <c r="AI3" s="21">
        <v>6</v>
      </c>
      <c r="AJ3" s="21">
        <v>7</v>
      </c>
      <c r="AK3" s="21">
        <v>8</v>
      </c>
      <c r="AL3" s="21">
        <v>9</v>
      </c>
      <c r="AM3" s="21">
        <v>10</v>
      </c>
      <c r="AN3" s="21">
        <v>11</v>
      </c>
      <c r="AO3" s="21">
        <v>12</v>
      </c>
      <c r="AP3" s="21">
        <v>13</v>
      </c>
      <c r="AQ3" s="21">
        <v>14</v>
      </c>
      <c r="AR3" s="21">
        <v>15</v>
      </c>
      <c r="AS3" s="21">
        <v>16</v>
      </c>
      <c r="AT3" s="21">
        <v>17</v>
      </c>
      <c r="AU3" s="21">
        <v>18</v>
      </c>
      <c r="AV3" s="21">
        <v>19</v>
      </c>
      <c r="AW3" s="21">
        <v>20</v>
      </c>
      <c r="AX3" s="21">
        <v>21</v>
      </c>
      <c r="AY3" s="21">
        <v>22</v>
      </c>
      <c r="AZ3" s="21">
        <v>23</v>
      </c>
      <c r="BA3" s="21">
        <v>24</v>
      </c>
      <c r="BB3" s="21">
        <v>25</v>
      </c>
      <c r="BC3" s="21">
        <v>26</v>
      </c>
      <c r="BD3" s="21">
        <v>27</v>
      </c>
      <c r="BE3" s="21">
        <v>28</v>
      </c>
      <c r="BF3" s="21">
        <v>29</v>
      </c>
      <c r="BG3" s="21">
        <v>30</v>
      </c>
      <c r="BH3" s="21">
        <v>31</v>
      </c>
      <c r="BI3" s="21">
        <v>32</v>
      </c>
      <c r="BJ3" s="21">
        <v>33</v>
      </c>
      <c r="BK3" s="21">
        <v>34</v>
      </c>
      <c r="BL3" s="21">
        <v>35</v>
      </c>
      <c r="BM3" s="21">
        <v>36</v>
      </c>
      <c r="BN3" s="21">
        <v>37</v>
      </c>
      <c r="BO3" s="21">
        <v>38</v>
      </c>
      <c r="BP3" s="21">
        <v>39</v>
      </c>
      <c r="BQ3" s="21">
        <v>40</v>
      </c>
      <c r="BR3" s="21">
        <v>41</v>
      </c>
      <c r="BS3" s="21">
        <v>42</v>
      </c>
      <c r="BT3" s="21">
        <v>43</v>
      </c>
      <c r="BU3" s="21">
        <v>44</v>
      </c>
      <c r="BV3" s="22" t="s">
        <v>844</v>
      </c>
      <c r="BW3" s="22"/>
      <c r="BX3" s="22"/>
      <c r="BY3" s="23"/>
      <c r="BZ3" s="927" t="s">
        <v>845</v>
      </c>
      <c r="CA3" s="928"/>
      <c r="CB3" s="928"/>
      <c r="CC3" s="928"/>
      <c r="CD3" s="928"/>
      <c r="CE3" s="928"/>
      <c r="CF3" s="928"/>
      <c r="CG3" s="929"/>
      <c r="CH3" s="24" t="s">
        <v>841</v>
      </c>
      <c r="CI3" s="461" t="s">
        <v>842</v>
      </c>
      <c r="CJ3" s="462" t="s">
        <v>846</v>
      </c>
      <c r="CK3" s="462" t="s">
        <v>843</v>
      </c>
      <c r="CL3" s="463"/>
      <c r="CM3" s="19"/>
      <c r="CN3" s="25">
        <v>1</v>
      </c>
      <c r="CO3" s="25">
        <v>2</v>
      </c>
      <c r="CP3" s="25">
        <v>3</v>
      </c>
      <c r="CQ3" s="25">
        <v>4</v>
      </c>
      <c r="CR3" s="25">
        <v>5</v>
      </c>
      <c r="CS3" s="25">
        <v>6</v>
      </c>
      <c r="CT3" s="25">
        <v>7</v>
      </c>
      <c r="CU3" s="25">
        <v>8</v>
      </c>
      <c r="CV3" s="25">
        <v>9</v>
      </c>
      <c r="CW3" s="25">
        <v>10</v>
      </c>
      <c r="CX3" s="25">
        <v>11</v>
      </c>
      <c r="CY3" s="25">
        <v>12</v>
      </c>
      <c r="CZ3" s="25">
        <v>13</v>
      </c>
      <c r="DA3" s="25">
        <v>14</v>
      </c>
      <c r="DB3" s="25">
        <v>15</v>
      </c>
      <c r="DC3" s="25">
        <v>16</v>
      </c>
      <c r="DD3" s="25">
        <v>17</v>
      </c>
      <c r="DE3" s="25">
        <v>18</v>
      </c>
      <c r="DF3" s="25">
        <v>19</v>
      </c>
      <c r="DG3" s="25">
        <v>20</v>
      </c>
      <c r="DH3" s="25">
        <v>21</v>
      </c>
      <c r="DI3" s="25">
        <v>22</v>
      </c>
      <c r="DJ3" s="25">
        <v>23</v>
      </c>
      <c r="DK3" s="25">
        <v>24</v>
      </c>
      <c r="DL3" s="25">
        <v>25</v>
      </c>
      <c r="DM3" s="25">
        <v>26</v>
      </c>
      <c r="DN3" s="25">
        <v>27</v>
      </c>
      <c r="DO3" s="25">
        <v>28</v>
      </c>
      <c r="DP3" s="25">
        <v>29</v>
      </c>
      <c r="DQ3" s="25">
        <v>30</v>
      </c>
      <c r="DR3" s="25">
        <v>31</v>
      </c>
      <c r="DS3" s="25">
        <v>32</v>
      </c>
      <c r="DT3" s="25">
        <v>33</v>
      </c>
      <c r="DU3" s="25">
        <v>34</v>
      </c>
      <c r="DV3" s="25">
        <v>35</v>
      </c>
      <c r="DW3" s="25">
        <v>36</v>
      </c>
      <c r="DX3" s="25">
        <v>37</v>
      </c>
      <c r="DY3" s="25">
        <v>38</v>
      </c>
      <c r="DZ3" s="25">
        <v>39</v>
      </c>
      <c r="EA3" s="25">
        <v>40</v>
      </c>
      <c r="EB3" s="25">
        <v>41</v>
      </c>
      <c r="EC3" s="25">
        <v>42</v>
      </c>
      <c r="ED3" s="25">
        <v>43</v>
      </c>
      <c r="EE3" s="25">
        <v>44</v>
      </c>
      <c r="EF3" s="25">
        <v>45</v>
      </c>
      <c r="EG3" s="25">
        <v>46</v>
      </c>
      <c r="EH3" s="25">
        <v>47</v>
      </c>
      <c r="EI3" s="25">
        <v>48</v>
      </c>
      <c r="EJ3" s="25">
        <v>49</v>
      </c>
      <c r="EK3" s="25">
        <v>50</v>
      </c>
      <c r="EL3" s="25">
        <v>51</v>
      </c>
      <c r="EM3" s="25">
        <v>52</v>
      </c>
      <c r="EN3" s="25">
        <v>53</v>
      </c>
      <c r="EO3" s="25">
        <v>54</v>
      </c>
      <c r="EP3" s="25">
        <v>55</v>
      </c>
      <c r="EQ3" s="25">
        <v>56</v>
      </c>
      <c r="ER3" s="25">
        <v>57</v>
      </c>
      <c r="ES3" s="25">
        <v>58</v>
      </c>
      <c r="ET3" s="930" t="s">
        <v>844</v>
      </c>
      <c r="EU3" s="931"/>
      <c r="EV3" s="931"/>
      <c r="EW3" s="932"/>
      <c r="EX3" s="930" t="s">
        <v>847</v>
      </c>
      <c r="EY3" s="931"/>
      <c r="EZ3" s="931"/>
      <c r="FA3" s="931"/>
      <c r="FB3" s="931"/>
      <c r="FC3" s="931"/>
      <c r="FD3" s="931"/>
      <c r="FE3" s="931"/>
      <c r="FF3" s="26" t="s">
        <v>841</v>
      </c>
      <c r="FG3" s="27"/>
      <c r="FH3" s="473" t="s">
        <v>842</v>
      </c>
      <c r="FI3" s="474" t="s">
        <v>846</v>
      </c>
      <c r="FJ3" s="474" t="s">
        <v>843</v>
      </c>
      <c r="FK3" s="474"/>
    </row>
    <row r="4" spans="1:167" s="49" customFormat="1" ht="88.55" customHeight="1" thickBot="1">
      <c r="A4" s="28" t="s">
        <v>848</v>
      </c>
      <c r="B4" s="29" t="s">
        <v>849</v>
      </c>
      <c r="C4" s="29" t="s">
        <v>850</v>
      </c>
      <c r="D4" s="30" t="s">
        <v>851</v>
      </c>
      <c r="E4" s="31" t="s">
        <v>852</v>
      </c>
      <c r="F4" s="32" t="s">
        <v>853</v>
      </c>
      <c r="G4" s="408" t="s">
        <v>1261</v>
      </c>
      <c r="H4" s="33" t="s">
        <v>854</v>
      </c>
      <c r="I4" s="32" t="s">
        <v>855</v>
      </c>
      <c r="J4" s="408" t="s">
        <v>1260</v>
      </c>
      <c r="K4" s="408" t="s">
        <v>856</v>
      </c>
      <c r="L4" s="408" t="s">
        <v>857</v>
      </c>
      <c r="M4" s="32" t="s">
        <v>858</v>
      </c>
      <c r="N4" s="34" t="s">
        <v>859</v>
      </c>
      <c r="O4" s="420" t="s">
        <v>1265</v>
      </c>
      <c r="P4" s="35" t="s">
        <v>860</v>
      </c>
      <c r="Q4" s="36" t="s">
        <v>851</v>
      </c>
      <c r="R4" s="31" t="s">
        <v>861</v>
      </c>
      <c r="S4" s="32" t="s">
        <v>862</v>
      </c>
      <c r="T4" s="450" t="s">
        <v>1262</v>
      </c>
      <c r="U4" s="32" t="s">
        <v>863</v>
      </c>
      <c r="V4" s="32" t="s">
        <v>864</v>
      </c>
      <c r="W4" s="450" t="s">
        <v>1263</v>
      </c>
      <c r="X4" s="32" t="s">
        <v>865</v>
      </c>
      <c r="Y4" s="34" t="s">
        <v>866</v>
      </c>
      <c r="Z4" s="442" t="s">
        <v>1264</v>
      </c>
      <c r="AA4" s="37" t="s">
        <v>867</v>
      </c>
      <c r="AB4" s="37" t="s">
        <v>868</v>
      </c>
      <c r="AC4" s="38" t="s">
        <v>851</v>
      </c>
      <c r="AD4" s="39">
        <v>40391</v>
      </c>
      <c r="AE4" s="40">
        <v>40422</v>
      </c>
      <c r="AF4" s="40">
        <v>40452</v>
      </c>
      <c r="AG4" s="40">
        <v>40483</v>
      </c>
      <c r="AH4" s="40">
        <v>40513</v>
      </c>
      <c r="AI4" s="40">
        <v>40544</v>
      </c>
      <c r="AJ4" s="40">
        <v>40575</v>
      </c>
      <c r="AK4" s="40">
        <v>40603</v>
      </c>
      <c r="AL4" s="40">
        <v>40634</v>
      </c>
      <c r="AM4" s="40">
        <v>40664</v>
      </c>
      <c r="AN4" s="40">
        <v>40695</v>
      </c>
      <c r="AO4" s="40">
        <v>40725</v>
      </c>
      <c r="AP4" s="40">
        <v>40756</v>
      </c>
      <c r="AQ4" s="40">
        <v>40787</v>
      </c>
      <c r="AR4" s="40">
        <v>40817</v>
      </c>
      <c r="AS4" s="40">
        <v>40848</v>
      </c>
      <c r="AT4" s="41">
        <v>40878</v>
      </c>
      <c r="AU4" s="41">
        <v>40909</v>
      </c>
      <c r="AV4" s="41">
        <v>40940</v>
      </c>
      <c r="AW4" s="41">
        <v>40969</v>
      </c>
      <c r="AX4" s="41">
        <v>41000</v>
      </c>
      <c r="AY4" s="41">
        <v>41030</v>
      </c>
      <c r="AZ4" s="41">
        <v>41061</v>
      </c>
      <c r="BA4" s="41">
        <v>41091</v>
      </c>
      <c r="BB4" s="41">
        <v>41122</v>
      </c>
      <c r="BC4" s="41">
        <v>41153</v>
      </c>
      <c r="BD4" s="41">
        <v>41183</v>
      </c>
      <c r="BE4" s="41">
        <v>41214</v>
      </c>
      <c r="BF4" s="41">
        <v>41244</v>
      </c>
      <c r="BG4" s="41">
        <v>41275</v>
      </c>
      <c r="BH4" s="41">
        <v>41306</v>
      </c>
      <c r="BI4" s="41">
        <v>41334</v>
      </c>
      <c r="BJ4" s="41">
        <v>41365</v>
      </c>
      <c r="BK4" s="41">
        <v>41395</v>
      </c>
      <c r="BL4" s="41">
        <v>41426</v>
      </c>
      <c r="BM4" s="41">
        <v>41456</v>
      </c>
      <c r="BN4" s="41">
        <v>41487</v>
      </c>
      <c r="BO4" s="41">
        <v>41518</v>
      </c>
      <c r="BP4" s="41">
        <v>41548</v>
      </c>
      <c r="BQ4" s="41">
        <v>41579</v>
      </c>
      <c r="BR4" s="41">
        <v>41609</v>
      </c>
      <c r="BS4" s="41">
        <v>41640</v>
      </c>
      <c r="BT4" s="41">
        <v>41671</v>
      </c>
      <c r="BU4" s="41">
        <v>41699</v>
      </c>
      <c r="BV4" s="42" t="s">
        <v>869</v>
      </c>
      <c r="BW4" s="42" t="s">
        <v>870</v>
      </c>
      <c r="BX4" s="42" t="s">
        <v>871</v>
      </c>
      <c r="BY4" s="42" t="s">
        <v>872</v>
      </c>
      <c r="BZ4" s="42" t="s">
        <v>873</v>
      </c>
      <c r="CA4" s="42" t="s">
        <v>874</v>
      </c>
      <c r="CB4" s="42" t="s">
        <v>875</v>
      </c>
      <c r="CC4" s="42" t="s">
        <v>876</v>
      </c>
      <c r="CD4" s="42" t="s">
        <v>877</v>
      </c>
      <c r="CE4" s="42" t="s">
        <v>878</v>
      </c>
      <c r="CF4" s="42" t="s">
        <v>879</v>
      </c>
      <c r="CG4" s="42" t="s">
        <v>880</v>
      </c>
      <c r="CH4" s="43" t="s">
        <v>881</v>
      </c>
      <c r="CI4" s="464" t="s">
        <v>1255</v>
      </c>
      <c r="CJ4" s="464" t="s">
        <v>882</v>
      </c>
      <c r="CK4" s="464" t="s">
        <v>883</v>
      </c>
      <c r="CL4" s="464" t="s">
        <v>1257</v>
      </c>
      <c r="CM4" s="44" t="s">
        <v>851</v>
      </c>
      <c r="CN4" s="45">
        <v>39904</v>
      </c>
      <c r="CO4" s="45">
        <v>39934</v>
      </c>
      <c r="CP4" s="45">
        <v>39965</v>
      </c>
      <c r="CQ4" s="45">
        <v>39995</v>
      </c>
      <c r="CR4" s="45">
        <v>40026</v>
      </c>
      <c r="CS4" s="45">
        <v>40057</v>
      </c>
      <c r="CT4" s="45">
        <v>40087</v>
      </c>
      <c r="CU4" s="45">
        <v>40118</v>
      </c>
      <c r="CV4" s="45">
        <v>40148</v>
      </c>
      <c r="CW4" s="45">
        <v>40179</v>
      </c>
      <c r="CX4" s="45">
        <v>40210</v>
      </c>
      <c r="CY4" s="45">
        <v>40238</v>
      </c>
      <c r="CZ4" s="45">
        <v>40269</v>
      </c>
      <c r="DA4" s="45">
        <v>40299</v>
      </c>
      <c r="DB4" s="45">
        <v>40330</v>
      </c>
      <c r="DC4" s="45">
        <v>40360</v>
      </c>
      <c r="DD4" s="45">
        <v>40391</v>
      </c>
      <c r="DE4" s="45">
        <v>40422</v>
      </c>
      <c r="DF4" s="45">
        <v>40452</v>
      </c>
      <c r="DG4" s="45">
        <v>40483</v>
      </c>
      <c r="DH4" s="45">
        <v>40513</v>
      </c>
      <c r="DI4" s="45">
        <v>40544</v>
      </c>
      <c r="DJ4" s="45">
        <v>40575</v>
      </c>
      <c r="DK4" s="45">
        <v>40603</v>
      </c>
      <c r="DL4" s="45">
        <v>40634</v>
      </c>
      <c r="DM4" s="45">
        <v>40664</v>
      </c>
      <c r="DN4" s="45">
        <v>40695</v>
      </c>
      <c r="DO4" s="45">
        <v>40725</v>
      </c>
      <c r="DP4" s="45">
        <v>40756</v>
      </c>
      <c r="DQ4" s="45">
        <v>40787</v>
      </c>
      <c r="DR4" s="45">
        <v>40817</v>
      </c>
      <c r="DS4" s="45">
        <v>40848</v>
      </c>
      <c r="DT4" s="45">
        <v>40878</v>
      </c>
      <c r="DU4" s="45">
        <v>40909</v>
      </c>
      <c r="DV4" s="45">
        <v>40940</v>
      </c>
      <c r="DW4" s="45">
        <v>40969</v>
      </c>
      <c r="DX4" s="45">
        <v>41000</v>
      </c>
      <c r="DY4" s="45">
        <v>41030</v>
      </c>
      <c r="DZ4" s="45">
        <v>41061</v>
      </c>
      <c r="EA4" s="45">
        <v>41091</v>
      </c>
      <c r="EB4" s="45">
        <v>41122</v>
      </c>
      <c r="EC4" s="45">
        <v>41153</v>
      </c>
      <c r="ED4" s="45">
        <v>41183</v>
      </c>
      <c r="EE4" s="45">
        <v>41214</v>
      </c>
      <c r="EF4" s="45">
        <v>41244</v>
      </c>
      <c r="EG4" s="45">
        <v>41275</v>
      </c>
      <c r="EH4" s="45">
        <v>41306</v>
      </c>
      <c r="EI4" s="45">
        <v>41334</v>
      </c>
      <c r="EJ4" s="45">
        <v>41365</v>
      </c>
      <c r="EK4" s="45">
        <v>41395</v>
      </c>
      <c r="EL4" s="45">
        <v>41426</v>
      </c>
      <c r="EM4" s="45">
        <v>41456</v>
      </c>
      <c r="EN4" s="45">
        <v>41487</v>
      </c>
      <c r="EO4" s="45">
        <v>41518</v>
      </c>
      <c r="EP4" s="45">
        <v>41548</v>
      </c>
      <c r="EQ4" s="45">
        <v>41579</v>
      </c>
      <c r="ER4" s="45">
        <v>41609</v>
      </c>
      <c r="ES4" s="45">
        <v>41640</v>
      </c>
      <c r="ET4" s="127" t="s">
        <v>963</v>
      </c>
      <c r="EU4" s="46" t="s">
        <v>884</v>
      </c>
      <c r="EV4" s="46" t="s">
        <v>885</v>
      </c>
      <c r="EW4" s="46" t="s">
        <v>886</v>
      </c>
      <c r="EX4" s="46" t="s">
        <v>887</v>
      </c>
      <c r="EY4" s="46" t="s">
        <v>888</v>
      </c>
      <c r="EZ4" s="46" t="s">
        <v>889</v>
      </c>
      <c r="FA4" s="46" t="s">
        <v>890</v>
      </c>
      <c r="FB4" s="46" t="s">
        <v>891</v>
      </c>
      <c r="FC4" s="46" t="s">
        <v>892</v>
      </c>
      <c r="FD4" s="46" t="s">
        <v>893</v>
      </c>
      <c r="FE4" s="47" t="s">
        <v>894</v>
      </c>
      <c r="FF4" s="48" t="s">
        <v>895</v>
      </c>
      <c r="FG4" s="48" t="s">
        <v>896</v>
      </c>
      <c r="FH4" s="475" t="s">
        <v>1256</v>
      </c>
      <c r="FI4" s="475" t="s">
        <v>897</v>
      </c>
      <c r="FJ4" s="475" t="s">
        <v>898</v>
      </c>
      <c r="FK4" s="475" t="s">
        <v>1258</v>
      </c>
    </row>
    <row r="5" spans="1:167">
      <c r="A5" s="50" t="s">
        <v>899</v>
      </c>
      <c r="B5" s="51" t="s">
        <v>900</v>
      </c>
      <c r="C5" s="52" t="s">
        <v>650</v>
      </c>
      <c r="D5" s="53" t="s">
        <v>9</v>
      </c>
      <c r="E5" s="54">
        <v>200</v>
      </c>
      <c r="F5" s="55">
        <v>170</v>
      </c>
      <c r="G5" s="409">
        <v>135</v>
      </c>
      <c r="H5" s="56">
        <v>19340</v>
      </c>
      <c r="I5" s="55">
        <v>19515</v>
      </c>
      <c r="J5" s="409">
        <v>19539</v>
      </c>
      <c r="K5" s="409">
        <v>19597.168999999998</v>
      </c>
      <c r="L5" s="417">
        <v>19669.39</v>
      </c>
      <c r="M5" s="57">
        <v>1044.5</v>
      </c>
      <c r="N5" s="58">
        <v>871</v>
      </c>
      <c r="O5" s="421">
        <v>696.8</v>
      </c>
      <c r="P5" s="59">
        <v>144</v>
      </c>
      <c r="Q5" s="53" t="s">
        <v>9</v>
      </c>
      <c r="R5" s="60">
        <v>315</v>
      </c>
      <c r="S5" s="55">
        <v>110</v>
      </c>
      <c r="T5" s="451">
        <v>115</v>
      </c>
      <c r="U5" s="55">
        <v>360</v>
      </c>
      <c r="V5" s="55">
        <v>120</v>
      </c>
      <c r="W5" s="451">
        <v>130</v>
      </c>
      <c r="X5" s="61">
        <v>88.3</v>
      </c>
      <c r="Y5" s="62">
        <v>91.5</v>
      </c>
      <c r="Z5" s="443">
        <v>88.3</v>
      </c>
      <c r="AA5" s="63">
        <v>165</v>
      </c>
      <c r="AB5" s="63">
        <v>180</v>
      </c>
      <c r="AC5" s="19" t="s">
        <v>9</v>
      </c>
      <c r="AD5" s="64">
        <v>377</v>
      </c>
      <c r="AE5" s="65">
        <v>588</v>
      </c>
      <c r="AF5" s="65">
        <v>642</v>
      </c>
      <c r="AG5" s="65">
        <v>595</v>
      </c>
      <c r="AH5" s="65">
        <v>495</v>
      </c>
      <c r="AI5" s="65">
        <v>251</v>
      </c>
      <c r="AJ5" s="65">
        <v>459</v>
      </c>
      <c r="AK5" s="65">
        <v>609</v>
      </c>
      <c r="AL5" s="65">
        <v>512</v>
      </c>
      <c r="AM5" s="65">
        <v>687</v>
      </c>
      <c r="AN5" s="65">
        <v>634</v>
      </c>
      <c r="AO5" s="65">
        <v>697</v>
      </c>
      <c r="AP5" s="65">
        <v>484</v>
      </c>
      <c r="AQ5" s="65">
        <v>565</v>
      </c>
      <c r="AR5" s="65">
        <v>450</v>
      </c>
      <c r="AS5" s="65">
        <v>718</v>
      </c>
      <c r="AT5" s="65">
        <v>773</v>
      </c>
      <c r="AU5" s="65">
        <v>644</v>
      </c>
      <c r="AV5" s="65">
        <v>438</v>
      </c>
      <c r="AW5" s="65">
        <v>444</v>
      </c>
      <c r="AX5" s="66">
        <v>335</v>
      </c>
      <c r="AY5" s="66">
        <v>463</v>
      </c>
      <c r="AZ5" s="66">
        <v>678</v>
      </c>
      <c r="BA5" s="66">
        <v>574</v>
      </c>
      <c r="BB5" s="66">
        <v>756</v>
      </c>
      <c r="BC5" s="66">
        <v>473</v>
      </c>
      <c r="BD5" s="66">
        <v>409</v>
      </c>
      <c r="BE5" s="66">
        <v>397</v>
      </c>
      <c r="BF5" s="66">
        <v>211</v>
      </c>
      <c r="BG5" s="66">
        <v>218</v>
      </c>
      <c r="BH5" s="66">
        <v>153</v>
      </c>
      <c r="BI5" s="66">
        <v>225</v>
      </c>
      <c r="BJ5" s="66">
        <v>270</v>
      </c>
      <c r="BK5" s="66">
        <v>249</v>
      </c>
      <c r="BL5" s="66">
        <v>238</v>
      </c>
      <c r="BM5" s="66">
        <v>187</v>
      </c>
      <c r="BN5" s="66">
        <v>148</v>
      </c>
      <c r="BO5" s="66">
        <v>158</v>
      </c>
      <c r="BP5" s="66">
        <v>183</v>
      </c>
      <c r="BQ5" s="66">
        <v>174</v>
      </c>
      <c r="BR5" s="65">
        <v>237</v>
      </c>
      <c r="BS5" s="65">
        <v>151</v>
      </c>
      <c r="BT5" s="65">
        <v>172</v>
      </c>
      <c r="BU5" s="65">
        <v>151</v>
      </c>
      <c r="BV5" s="67">
        <v>757</v>
      </c>
      <c r="BW5" s="67">
        <v>493</v>
      </c>
      <c r="BX5" s="67">
        <v>594</v>
      </c>
      <c r="BY5" s="67">
        <v>474</v>
      </c>
      <c r="BZ5" s="68">
        <v>457.45031712473565</v>
      </c>
      <c r="CA5" s="68">
        <v>356.80761099365736</v>
      </c>
      <c r="CB5" s="68">
        <v>256.16490486257908</v>
      </c>
      <c r="CC5" s="68">
        <v>155.52219873150113</v>
      </c>
      <c r="CD5" s="68">
        <v>54.87949260042285</v>
      </c>
      <c r="CE5" s="68">
        <v>0</v>
      </c>
      <c r="CF5" s="68">
        <v>0</v>
      </c>
      <c r="CG5" s="68">
        <v>0</v>
      </c>
      <c r="CH5" s="69">
        <v>134900</v>
      </c>
      <c r="CI5" s="465">
        <v>136747</v>
      </c>
      <c r="CJ5" s="465">
        <v>139942.09299999999</v>
      </c>
      <c r="CK5" s="465">
        <v>142593.09099999996</v>
      </c>
      <c r="CL5" s="466">
        <v>145356.51999999999</v>
      </c>
      <c r="CM5" s="19" t="s">
        <v>9</v>
      </c>
      <c r="CN5" s="70">
        <v>289</v>
      </c>
      <c r="CO5" s="70">
        <v>315</v>
      </c>
      <c r="CP5" s="70">
        <v>270</v>
      </c>
      <c r="CQ5" s="70">
        <v>258</v>
      </c>
      <c r="CR5" s="70">
        <v>255</v>
      </c>
      <c r="CS5" s="70">
        <v>282</v>
      </c>
      <c r="CT5" s="70">
        <v>299</v>
      </c>
      <c r="CU5" s="70">
        <v>350</v>
      </c>
      <c r="CV5" s="70">
        <v>377</v>
      </c>
      <c r="CW5" s="70">
        <v>329</v>
      </c>
      <c r="CX5" s="70">
        <v>276</v>
      </c>
      <c r="CY5" s="70">
        <v>308</v>
      </c>
      <c r="CZ5" s="70">
        <v>337</v>
      </c>
      <c r="DA5" s="70">
        <v>325</v>
      </c>
      <c r="DB5" s="70">
        <v>294</v>
      </c>
      <c r="DC5" s="70">
        <v>285</v>
      </c>
      <c r="DD5" s="70">
        <v>264</v>
      </c>
      <c r="DE5" s="70">
        <v>289</v>
      </c>
      <c r="DF5" s="70">
        <v>325</v>
      </c>
      <c r="DG5" s="70">
        <v>325</v>
      </c>
      <c r="DH5" s="70">
        <v>373</v>
      </c>
      <c r="DI5" s="70">
        <v>382</v>
      </c>
      <c r="DJ5" s="70">
        <v>296</v>
      </c>
      <c r="DK5" s="70">
        <v>331</v>
      </c>
      <c r="DL5" s="46">
        <v>375</v>
      </c>
      <c r="DM5" s="46">
        <v>319</v>
      </c>
      <c r="DN5" s="46">
        <v>356</v>
      </c>
      <c r="DO5" s="46">
        <v>340</v>
      </c>
      <c r="DP5" s="46">
        <v>345</v>
      </c>
      <c r="DQ5" s="46">
        <v>346</v>
      </c>
      <c r="DR5" s="46">
        <v>349</v>
      </c>
      <c r="DS5" s="46">
        <v>352</v>
      </c>
      <c r="DT5" s="46">
        <v>424</v>
      </c>
      <c r="DU5" s="46">
        <v>393</v>
      </c>
      <c r="DV5" s="46">
        <v>407</v>
      </c>
      <c r="DW5" s="46">
        <v>338</v>
      </c>
      <c r="DX5" s="46">
        <v>334</v>
      </c>
      <c r="DY5" s="46">
        <v>353</v>
      </c>
      <c r="DZ5" s="46">
        <v>362</v>
      </c>
      <c r="EA5" s="46">
        <v>357</v>
      </c>
      <c r="EB5" s="46">
        <v>321</v>
      </c>
      <c r="EC5" s="46">
        <v>336</v>
      </c>
      <c r="ED5" s="46">
        <v>358</v>
      </c>
      <c r="EE5" s="46">
        <v>379</v>
      </c>
      <c r="EF5" s="46">
        <v>404</v>
      </c>
      <c r="EG5" s="46">
        <v>395</v>
      </c>
      <c r="EH5" s="46">
        <v>331</v>
      </c>
      <c r="EI5" s="46">
        <v>341</v>
      </c>
      <c r="EJ5" s="46">
        <v>365</v>
      </c>
      <c r="EK5" s="46">
        <v>372</v>
      </c>
      <c r="EL5" s="46">
        <v>308</v>
      </c>
      <c r="EM5" s="46">
        <v>320</v>
      </c>
      <c r="EN5" s="46">
        <v>287</v>
      </c>
      <c r="EO5" s="46">
        <v>353</v>
      </c>
      <c r="EP5" s="46">
        <v>324</v>
      </c>
      <c r="EQ5" s="46">
        <v>362</v>
      </c>
      <c r="ER5" s="46">
        <v>387</v>
      </c>
      <c r="ES5" s="46">
        <v>294</v>
      </c>
      <c r="ET5" s="46">
        <v>1067</v>
      </c>
      <c r="EU5" s="46">
        <v>1045</v>
      </c>
      <c r="EV5" s="46">
        <v>960</v>
      </c>
      <c r="EW5" s="46">
        <v>1073</v>
      </c>
      <c r="EX5" s="71">
        <v>1109.5324064105325</v>
      </c>
      <c r="EY5" s="71">
        <v>1119.2245224399398</v>
      </c>
      <c r="EZ5" s="71">
        <v>1128.9166384693472</v>
      </c>
      <c r="FA5" s="71">
        <v>1138.6087544987543</v>
      </c>
      <c r="FB5" s="71">
        <v>1148.3008705281618</v>
      </c>
      <c r="FC5" s="71">
        <v>1157.9929865575687</v>
      </c>
      <c r="FD5" s="71">
        <v>1167.685102586976</v>
      </c>
      <c r="FE5" s="71">
        <v>1177.3772186163833</v>
      </c>
      <c r="FF5" s="72">
        <v>187029</v>
      </c>
      <c r="FG5" s="72">
        <v>190560</v>
      </c>
      <c r="FH5" s="476">
        <v>194352</v>
      </c>
      <c r="FI5" s="476">
        <v>198408.65299999999</v>
      </c>
      <c r="FJ5" s="476">
        <v>202357.84599999999</v>
      </c>
      <c r="FK5" s="476">
        <v>206395.092</v>
      </c>
    </row>
    <row r="6" spans="1:167">
      <c r="A6" s="73" t="s">
        <v>899</v>
      </c>
      <c r="B6" s="19" t="s">
        <v>900</v>
      </c>
      <c r="C6" s="74" t="s">
        <v>651</v>
      </c>
      <c r="D6" s="75" t="s">
        <v>16</v>
      </c>
      <c r="E6" s="76">
        <v>255</v>
      </c>
      <c r="F6" s="77">
        <v>245</v>
      </c>
      <c r="G6" s="410">
        <v>240</v>
      </c>
      <c r="H6" s="78">
        <v>47705</v>
      </c>
      <c r="I6" s="77">
        <v>49295</v>
      </c>
      <c r="J6" s="410">
        <v>50513</v>
      </c>
      <c r="K6" s="410">
        <v>51959.179000000004</v>
      </c>
      <c r="L6" s="418">
        <v>53379.548999999992</v>
      </c>
      <c r="M6" s="79">
        <v>534.5</v>
      </c>
      <c r="N6" s="80">
        <v>493</v>
      </c>
      <c r="O6" s="421">
        <v>486.9</v>
      </c>
      <c r="P6" s="71">
        <v>230</v>
      </c>
      <c r="Q6" s="75" t="s">
        <v>16</v>
      </c>
      <c r="R6" s="81">
        <v>400</v>
      </c>
      <c r="S6" s="77">
        <v>330</v>
      </c>
      <c r="T6" s="452">
        <v>290</v>
      </c>
      <c r="U6" s="77">
        <v>450</v>
      </c>
      <c r="V6" s="77">
        <v>400</v>
      </c>
      <c r="W6" s="452">
        <v>405</v>
      </c>
      <c r="X6" s="82">
        <v>88.5</v>
      </c>
      <c r="Y6" s="83">
        <v>83.2</v>
      </c>
      <c r="Z6" s="443">
        <v>71.900000000000006</v>
      </c>
      <c r="AA6" s="63">
        <v>334</v>
      </c>
      <c r="AB6" s="63">
        <v>398</v>
      </c>
      <c r="AC6" s="19" t="s">
        <v>16</v>
      </c>
      <c r="AD6" s="84">
        <v>335</v>
      </c>
      <c r="AE6" s="85">
        <v>286</v>
      </c>
      <c r="AF6" s="85">
        <v>435</v>
      </c>
      <c r="AG6" s="85">
        <v>450</v>
      </c>
      <c r="AH6" s="85">
        <v>585</v>
      </c>
      <c r="AI6" s="85">
        <v>474</v>
      </c>
      <c r="AJ6" s="85">
        <v>493</v>
      </c>
      <c r="AK6" s="85">
        <v>780</v>
      </c>
      <c r="AL6" s="85">
        <v>713</v>
      </c>
      <c r="AM6" s="85">
        <v>614</v>
      </c>
      <c r="AN6" s="85">
        <v>457</v>
      </c>
      <c r="AO6" s="85">
        <v>416</v>
      </c>
      <c r="AP6" s="85">
        <v>470</v>
      </c>
      <c r="AQ6" s="85">
        <v>490</v>
      </c>
      <c r="AR6" s="85">
        <v>601</v>
      </c>
      <c r="AS6" s="85">
        <v>569</v>
      </c>
      <c r="AT6" s="85">
        <v>592</v>
      </c>
      <c r="AU6" s="85">
        <v>495</v>
      </c>
      <c r="AV6" s="85">
        <v>382</v>
      </c>
      <c r="AW6" s="85">
        <v>481</v>
      </c>
      <c r="AX6" s="86">
        <v>503</v>
      </c>
      <c r="AY6" s="86">
        <v>612</v>
      </c>
      <c r="AZ6" s="86">
        <v>429</v>
      </c>
      <c r="BA6" s="86">
        <v>659</v>
      </c>
      <c r="BB6" s="86">
        <v>766</v>
      </c>
      <c r="BC6" s="86">
        <v>626</v>
      </c>
      <c r="BD6" s="86">
        <v>639</v>
      </c>
      <c r="BE6" s="86">
        <v>770</v>
      </c>
      <c r="BF6" s="86">
        <v>670</v>
      </c>
      <c r="BG6" s="86">
        <v>752</v>
      </c>
      <c r="BH6" s="86">
        <v>567</v>
      </c>
      <c r="BI6" s="86">
        <v>601</v>
      </c>
      <c r="BJ6" s="86">
        <v>699</v>
      </c>
      <c r="BK6" s="86">
        <v>735</v>
      </c>
      <c r="BL6" s="86">
        <v>593</v>
      </c>
      <c r="BM6" s="86">
        <v>481</v>
      </c>
      <c r="BN6" s="86">
        <v>759</v>
      </c>
      <c r="BO6" s="86">
        <v>655</v>
      </c>
      <c r="BP6" s="86">
        <v>563</v>
      </c>
      <c r="BQ6" s="86">
        <v>487</v>
      </c>
      <c r="BR6" s="85">
        <v>594</v>
      </c>
      <c r="BS6" s="85">
        <v>641</v>
      </c>
      <c r="BT6" s="85">
        <v>480</v>
      </c>
      <c r="BU6" s="85">
        <v>520</v>
      </c>
      <c r="BV6" s="67">
        <v>2027</v>
      </c>
      <c r="BW6" s="67">
        <v>1895</v>
      </c>
      <c r="BX6" s="67">
        <v>1644</v>
      </c>
      <c r="BY6" s="67">
        <v>1641</v>
      </c>
      <c r="BZ6" s="68">
        <v>1961.2837209302324</v>
      </c>
      <c r="CA6" s="68">
        <v>1994.763847780127</v>
      </c>
      <c r="CB6" s="68">
        <v>2028.2439746300213</v>
      </c>
      <c r="CC6" s="68">
        <v>2061.7241014799156</v>
      </c>
      <c r="CD6" s="68">
        <v>2095.2042283298097</v>
      </c>
      <c r="CE6" s="68">
        <v>2128.6843551797042</v>
      </c>
      <c r="CF6" s="68">
        <v>2162.1644820295983</v>
      </c>
      <c r="CG6" s="68">
        <v>2195.6446088794928</v>
      </c>
      <c r="CH6" s="87">
        <v>278600</v>
      </c>
      <c r="CI6" s="467">
        <v>282465</v>
      </c>
      <c r="CJ6" s="467">
        <v>287621.60599999991</v>
      </c>
      <c r="CK6" s="467">
        <v>292124.87</v>
      </c>
      <c r="CL6" s="468">
        <v>296808.07999999996</v>
      </c>
      <c r="CM6" s="19" t="s">
        <v>16</v>
      </c>
      <c r="CN6" s="70">
        <v>198</v>
      </c>
      <c r="CO6" s="70">
        <v>140</v>
      </c>
      <c r="CP6" s="70">
        <v>148</v>
      </c>
      <c r="CQ6" s="70">
        <v>138</v>
      </c>
      <c r="CR6" s="70">
        <v>147</v>
      </c>
      <c r="CS6" s="70">
        <v>139</v>
      </c>
      <c r="CT6" s="70">
        <v>162</v>
      </c>
      <c r="CU6" s="70">
        <v>188</v>
      </c>
      <c r="CV6" s="70">
        <v>242</v>
      </c>
      <c r="CW6" s="70">
        <v>222</v>
      </c>
      <c r="CX6" s="70">
        <v>228</v>
      </c>
      <c r="CY6" s="70">
        <v>227</v>
      </c>
      <c r="CZ6" s="70">
        <v>312</v>
      </c>
      <c r="DA6" s="70">
        <v>309</v>
      </c>
      <c r="DB6" s="70">
        <v>287</v>
      </c>
      <c r="DC6" s="70">
        <v>319</v>
      </c>
      <c r="DD6" s="70">
        <v>272</v>
      </c>
      <c r="DE6" s="70">
        <v>263</v>
      </c>
      <c r="DF6" s="70">
        <v>289</v>
      </c>
      <c r="DG6" s="70">
        <v>310</v>
      </c>
      <c r="DH6" s="70">
        <v>368</v>
      </c>
      <c r="DI6" s="70">
        <v>295</v>
      </c>
      <c r="DJ6" s="70">
        <v>277</v>
      </c>
      <c r="DK6" s="70">
        <v>314</v>
      </c>
      <c r="DL6" s="46">
        <v>304</v>
      </c>
      <c r="DM6" s="46">
        <v>304</v>
      </c>
      <c r="DN6" s="46">
        <v>272</v>
      </c>
      <c r="DO6" s="46">
        <v>306</v>
      </c>
      <c r="DP6" s="46">
        <v>299</v>
      </c>
      <c r="DQ6" s="46">
        <v>357</v>
      </c>
      <c r="DR6" s="46">
        <v>437</v>
      </c>
      <c r="DS6" s="46">
        <v>397</v>
      </c>
      <c r="DT6" s="46">
        <v>471</v>
      </c>
      <c r="DU6" s="46">
        <v>408</v>
      </c>
      <c r="DV6" s="46">
        <v>488</v>
      </c>
      <c r="DW6" s="46">
        <v>438</v>
      </c>
      <c r="DX6" s="46">
        <v>387</v>
      </c>
      <c r="DY6" s="46">
        <v>478</v>
      </c>
      <c r="DZ6" s="46">
        <v>366</v>
      </c>
      <c r="EA6" s="46">
        <v>419</v>
      </c>
      <c r="EB6" s="46">
        <v>412</v>
      </c>
      <c r="EC6" s="46">
        <v>458</v>
      </c>
      <c r="ED6" s="46">
        <v>425</v>
      </c>
      <c r="EE6" s="46">
        <v>489</v>
      </c>
      <c r="EF6" s="46">
        <v>537</v>
      </c>
      <c r="EG6" s="46">
        <v>504</v>
      </c>
      <c r="EH6" s="46">
        <v>490</v>
      </c>
      <c r="EI6" s="46">
        <v>474</v>
      </c>
      <c r="EJ6" s="46">
        <v>479</v>
      </c>
      <c r="EK6" s="46">
        <v>394</v>
      </c>
      <c r="EL6" s="46">
        <v>377</v>
      </c>
      <c r="EM6" s="46">
        <v>390</v>
      </c>
      <c r="EN6" s="46">
        <v>339</v>
      </c>
      <c r="EO6" s="46">
        <v>301</v>
      </c>
      <c r="EP6" s="46">
        <v>342</v>
      </c>
      <c r="EQ6" s="46">
        <v>390</v>
      </c>
      <c r="ER6" s="46">
        <v>409</v>
      </c>
      <c r="ES6" s="46">
        <v>372</v>
      </c>
      <c r="ET6" s="46">
        <v>1468</v>
      </c>
      <c r="EU6" s="46">
        <v>1250</v>
      </c>
      <c r="EV6" s="46">
        <v>1030</v>
      </c>
      <c r="EW6" s="46">
        <v>1141</v>
      </c>
      <c r="EX6" s="71">
        <v>1495.6609861884401</v>
      </c>
      <c r="EY6" s="71">
        <v>1540.5851302716171</v>
      </c>
      <c r="EZ6" s="71">
        <v>1585.5092743547941</v>
      </c>
      <c r="FA6" s="71">
        <v>1630.4334184379711</v>
      </c>
      <c r="FB6" s="71">
        <v>1675.3575625211481</v>
      </c>
      <c r="FC6" s="71">
        <v>1720.2817066043249</v>
      </c>
      <c r="FD6" s="71">
        <v>1765.2058506875019</v>
      </c>
      <c r="FE6" s="71">
        <v>1810.1299947706789</v>
      </c>
      <c r="FF6" s="72">
        <v>357538</v>
      </c>
      <c r="FG6" s="72">
        <v>363956</v>
      </c>
      <c r="FH6" s="476">
        <v>369088</v>
      </c>
      <c r="FI6" s="476">
        <v>375815.15500000003</v>
      </c>
      <c r="FJ6" s="476">
        <v>381776.03499999997</v>
      </c>
      <c r="FK6" s="476">
        <v>388036.14899999998</v>
      </c>
    </row>
    <row r="7" spans="1:167">
      <c r="A7" s="73" t="s">
        <v>901</v>
      </c>
      <c r="B7" s="19" t="s">
        <v>902</v>
      </c>
      <c r="C7" s="74" t="s">
        <v>652</v>
      </c>
      <c r="D7" s="75" t="s">
        <v>23</v>
      </c>
      <c r="E7" s="76">
        <v>300</v>
      </c>
      <c r="F7" s="77">
        <v>290</v>
      </c>
      <c r="G7" s="410">
        <v>310</v>
      </c>
      <c r="H7" s="78">
        <v>40335</v>
      </c>
      <c r="I7" s="77">
        <v>41820</v>
      </c>
      <c r="J7" s="410">
        <v>42861</v>
      </c>
      <c r="K7" s="410">
        <v>43847.201000000001</v>
      </c>
      <c r="L7" s="418">
        <v>44694.465000000004</v>
      </c>
      <c r="M7" s="79">
        <v>746.3</v>
      </c>
      <c r="N7" s="80">
        <v>691</v>
      </c>
      <c r="O7" s="421">
        <v>736.5</v>
      </c>
      <c r="P7" s="71">
        <v>251</v>
      </c>
      <c r="Q7" s="75" t="s">
        <v>23</v>
      </c>
      <c r="R7" s="81">
        <v>180</v>
      </c>
      <c r="S7" s="77">
        <v>165</v>
      </c>
      <c r="T7" s="452">
        <v>120</v>
      </c>
      <c r="U7" s="77">
        <v>210</v>
      </c>
      <c r="V7" s="77">
        <v>195</v>
      </c>
      <c r="W7" s="452">
        <v>160</v>
      </c>
      <c r="X7" s="82">
        <v>86.1</v>
      </c>
      <c r="Y7" s="83">
        <v>82.7</v>
      </c>
      <c r="Z7" s="443">
        <v>77.2</v>
      </c>
      <c r="AA7" s="63">
        <v>175</v>
      </c>
      <c r="AB7" s="63">
        <v>197</v>
      </c>
      <c r="AC7" s="19" t="s">
        <v>23</v>
      </c>
      <c r="AD7" s="84">
        <v>73</v>
      </c>
      <c r="AE7" s="85">
        <v>92</v>
      </c>
      <c r="AF7" s="85">
        <v>109</v>
      </c>
      <c r="AG7" s="85">
        <v>115</v>
      </c>
      <c r="AH7" s="85">
        <v>116</v>
      </c>
      <c r="AI7" s="85">
        <v>104</v>
      </c>
      <c r="AJ7" s="85">
        <v>101</v>
      </c>
      <c r="AK7" s="85">
        <v>114</v>
      </c>
      <c r="AL7" s="85">
        <v>109</v>
      </c>
      <c r="AM7" s="85">
        <v>67</v>
      </c>
      <c r="AN7" s="85">
        <v>106</v>
      </c>
      <c r="AO7" s="85">
        <v>86</v>
      </c>
      <c r="AP7" s="85">
        <v>86</v>
      </c>
      <c r="AQ7" s="85">
        <v>64</v>
      </c>
      <c r="AR7" s="85">
        <v>126</v>
      </c>
      <c r="AS7" s="85">
        <v>39</v>
      </c>
      <c r="AT7" s="85">
        <v>14</v>
      </c>
      <c r="AU7" s="85">
        <v>106</v>
      </c>
      <c r="AV7" s="85">
        <v>117</v>
      </c>
      <c r="AW7" s="85">
        <v>133</v>
      </c>
      <c r="AX7" s="86">
        <v>84</v>
      </c>
      <c r="AY7" s="86">
        <v>129</v>
      </c>
      <c r="AZ7" s="86">
        <v>66</v>
      </c>
      <c r="BA7" s="86">
        <v>13</v>
      </c>
      <c r="BB7" s="86">
        <v>46</v>
      </c>
      <c r="BC7" s="86">
        <v>93</v>
      </c>
      <c r="BD7" s="86">
        <v>123</v>
      </c>
      <c r="BE7" s="86">
        <v>62</v>
      </c>
      <c r="BF7" s="86">
        <v>115</v>
      </c>
      <c r="BG7" s="86">
        <v>91</v>
      </c>
      <c r="BH7" s="86">
        <v>63</v>
      </c>
      <c r="BI7" s="86">
        <v>107</v>
      </c>
      <c r="BJ7" s="86">
        <v>91</v>
      </c>
      <c r="BK7" s="86">
        <v>108</v>
      </c>
      <c r="BL7" s="86">
        <v>144</v>
      </c>
      <c r="BM7" s="86">
        <v>99</v>
      </c>
      <c r="BN7" s="86">
        <v>93</v>
      </c>
      <c r="BO7" s="86">
        <v>227</v>
      </c>
      <c r="BP7" s="86">
        <v>55</v>
      </c>
      <c r="BQ7" s="86">
        <v>9</v>
      </c>
      <c r="BR7" s="85">
        <v>39</v>
      </c>
      <c r="BS7" s="85">
        <v>72</v>
      </c>
      <c r="BT7" s="85">
        <v>58</v>
      </c>
      <c r="BU7" s="85">
        <v>109</v>
      </c>
      <c r="BV7" s="67">
        <v>343</v>
      </c>
      <c r="BW7" s="67">
        <v>419</v>
      </c>
      <c r="BX7" s="67">
        <v>103</v>
      </c>
      <c r="BY7" s="67">
        <v>239</v>
      </c>
      <c r="BZ7" s="68">
        <v>252.43911205073996</v>
      </c>
      <c r="CA7" s="68">
        <v>250.08414376321355</v>
      </c>
      <c r="CB7" s="68">
        <v>247.7291754756871</v>
      </c>
      <c r="CC7" s="68">
        <v>245.37420718816071</v>
      </c>
      <c r="CD7" s="68">
        <v>243.01923890063426</v>
      </c>
      <c r="CE7" s="68">
        <v>240.66427061310782</v>
      </c>
      <c r="CF7" s="68">
        <v>238.30930232558143</v>
      </c>
      <c r="CG7" s="68">
        <v>235.95433403805501</v>
      </c>
      <c r="CH7" s="87">
        <v>184500</v>
      </c>
      <c r="CI7" s="467">
        <v>186297</v>
      </c>
      <c r="CJ7" s="467">
        <v>187127.04100000006</v>
      </c>
      <c r="CK7" s="467">
        <v>188488.77699999997</v>
      </c>
      <c r="CL7" s="468">
        <v>189785.29899999985</v>
      </c>
      <c r="CM7" s="19" t="s">
        <v>23</v>
      </c>
      <c r="CN7" s="70">
        <v>493</v>
      </c>
      <c r="CO7" s="70">
        <v>508</v>
      </c>
      <c r="CP7" s="70">
        <v>491</v>
      </c>
      <c r="CQ7" s="70">
        <v>567</v>
      </c>
      <c r="CR7" s="70">
        <v>528</v>
      </c>
      <c r="CS7" s="70">
        <v>554</v>
      </c>
      <c r="CT7" s="70">
        <v>703</v>
      </c>
      <c r="CU7" s="70">
        <v>680</v>
      </c>
      <c r="CV7" s="70">
        <v>670</v>
      </c>
      <c r="CW7" s="70">
        <v>585</v>
      </c>
      <c r="CX7" s="70">
        <v>636</v>
      </c>
      <c r="CY7" s="70">
        <v>586</v>
      </c>
      <c r="CZ7" s="70">
        <v>507</v>
      </c>
      <c r="DA7" s="70">
        <v>554</v>
      </c>
      <c r="DB7" s="70">
        <v>499</v>
      </c>
      <c r="DC7" s="70">
        <v>509</v>
      </c>
      <c r="DD7" s="70">
        <v>493</v>
      </c>
      <c r="DE7" s="70">
        <v>519</v>
      </c>
      <c r="DF7" s="70">
        <v>571</v>
      </c>
      <c r="DG7" s="70">
        <v>544</v>
      </c>
      <c r="DH7" s="70">
        <v>700</v>
      </c>
      <c r="DI7" s="70">
        <v>684</v>
      </c>
      <c r="DJ7" s="70">
        <v>603</v>
      </c>
      <c r="DK7" s="70">
        <v>644</v>
      </c>
      <c r="DL7" s="46">
        <v>515</v>
      </c>
      <c r="DM7" s="46">
        <v>511</v>
      </c>
      <c r="DN7" s="46">
        <v>437</v>
      </c>
      <c r="DO7" s="46">
        <v>484</v>
      </c>
      <c r="DP7" s="46">
        <v>430</v>
      </c>
      <c r="DQ7" s="46">
        <v>465</v>
      </c>
      <c r="DR7" s="46">
        <v>533</v>
      </c>
      <c r="DS7" s="46">
        <v>535</v>
      </c>
      <c r="DT7" s="46">
        <v>618</v>
      </c>
      <c r="DU7" s="46">
        <v>611</v>
      </c>
      <c r="DV7" s="46">
        <v>606</v>
      </c>
      <c r="DW7" s="46">
        <v>613</v>
      </c>
      <c r="DX7" s="46">
        <v>595</v>
      </c>
      <c r="DY7" s="46">
        <v>599</v>
      </c>
      <c r="DZ7" s="46">
        <v>517</v>
      </c>
      <c r="EA7" s="46">
        <v>560</v>
      </c>
      <c r="EB7" s="46">
        <v>491</v>
      </c>
      <c r="EC7" s="46">
        <v>552</v>
      </c>
      <c r="ED7" s="46">
        <v>595</v>
      </c>
      <c r="EE7" s="46">
        <v>666</v>
      </c>
      <c r="EF7" s="46">
        <v>687</v>
      </c>
      <c r="EG7" s="46">
        <v>698</v>
      </c>
      <c r="EH7" s="46">
        <v>606</v>
      </c>
      <c r="EI7" s="46">
        <v>639</v>
      </c>
      <c r="EJ7" s="46">
        <v>641</v>
      </c>
      <c r="EK7" s="46">
        <v>537</v>
      </c>
      <c r="EL7" s="46">
        <v>520</v>
      </c>
      <c r="EM7" s="46">
        <v>517</v>
      </c>
      <c r="EN7" s="46">
        <v>507</v>
      </c>
      <c r="EO7" s="46">
        <v>555</v>
      </c>
      <c r="EP7" s="46">
        <v>589</v>
      </c>
      <c r="EQ7" s="46">
        <v>577</v>
      </c>
      <c r="ER7" s="46">
        <v>648</v>
      </c>
      <c r="ES7" s="46">
        <v>562</v>
      </c>
      <c r="ET7" s="46">
        <v>1943</v>
      </c>
      <c r="EU7" s="46">
        <v>1698</v>
      </c>
      <c r="EV7" s="46">
        <v>1579</v>
      </c>
      <c r="EW7" s="46">
        <v>1814</v>
      </c>
      <c r="EX7" s="71">
        <v>1755.1856716601555</v>
      </c>
      <c r="EY7" s="71">
        <v>1759.4330493094219</v>
      </c>
      <c r="EZ7" s="71">
        <v>1763.6804269586883</v>
      </c>
      <c r="FA7" s="71">
        <v>1767.9278046079546</v>
      </c>
      <c r="FB7" s="71">
        <v>1772.175182257221</v>
      </c>
      <c r="FC7" s="71">
        <v>1776.4225599064873</v>
      </c>
      <c r="FD7" s="71">
        <v>1780.6699375557537</v>
      </c>
      <c r="FE7" s="71">
        <v>1784.91731520502</v>
      </c>
      <c r="FF7" s="72">
        <v>231865</v>
      </c>
      <c r="FG7" s="72">
        <v>233671</v>
      </c>
      <c r="FH7" s="476">
        <v>235757</v>
      </c>
      <c r="FI7" s="476">
        <v>236388.01300000001</v>
      </c>
      <c r="FJ7" s="476">
        <v>237865.864</v>
      </c>
      <c r="FK7" s="476">
        <v>239391.98300000001</v>
      </c>
    </row>
    <row r="8" spans="1:167">
      <c r="A8" s="73" t="s">
        <v>903</v>
      </c>
      <c r="B8" s="19" t="s">
        <v>904</v>
      </c>
      <c r="C8" s="74" t="s">
        <v>653</v>
      </c>
      <c r="D8" s="75" t="s">
        <v>29</v>
      </c>
      <c r="E8" s="76">
        <v>310</v>
      </c>
      <c r="F8" s="77">
        <v>320</v>
      </c>
      <c r="G8" s="410">
        <v>305</v>
      </c>
      <c r="H8" s="78">
        <v>32060</v>
      </c>
      <c r="I8" s="77">
        <v>33165</v>
      </c>
      <c r="J8" s="410">
        <v>33933</v>
      </c>
      <c r="K8" s="410">
        <v>34609.135999999999</v>
      </c>
      <c r="L8" s="418">
        <v>35170.766999999993</v>
      </c>
      <c r="M8" s="79">
        <v>973.2</v>
      </c>
      <c r="N8" s="80">
        <v>970.8</v>
      </c>
      <c r="O8" s="421">
        <v>913.6</v>
      </c>
      <c r="P8" s="71">
        <v>322</v>
      </c>
      <c r="Q8" s="75" t="s">
        <v>29</v>
      </c>
      <c r="R8" s="81">
        <v>75</v>
      </c>
      <c r="S8" s="77">
        <v>120</v>
      </c>
      <c r="T8" s="452">
        <v>140</v>
      </c>
      <c r="U8" s="77">
        <v>80</v>
      </c>
      <c r="V8" s="77">
        <v>140</v>
      </c>
      <c r="W8" s="452">
        <v>160</v>
      </c>
      <c r="X8" s="82">
        <v>93.9</v>
      </c>
      <c r="Y8" s="83">
        <v>86.2</v>
      </c>
      <c r="Z8" s="443">
        <v>86.3</v>
      </c>
      <c r="AA8" s="63">
        <v>455</v>
      </c>
      <c r="AB8" s="63">
        <v>550</v>
      </c>
      <c r="AC8" s="19" t="s">
        <v>29</v>
      </c>
      <c r="AD8" s="84">
        <v>385</v>
      </c>
      <c r="AE8" s="85">
        <v>264</v>
      </c>
      <c r="AF8" s="85">
        <v>320</v>
      </c>
      <c r="AG8" s="85">
        <v>269</v>
      </c>
      <c r="AH8" s="85">
        <v>249</v>
      </c>
      <c r="AI8" s="85">
        <v>288</v>
      </c>
      <c r="AJ8" s="85">
        <v>300</v>
      </c>
      <c r="AK8" s="85">
        <v>280</v>
      </c>
      <c r="AL8" s="85">
        <v>651</v>
      </c>
      <c r="AM8" s="85">
        <v>207</v>
      </c>
      <c r="AN8" s="85">
        <v>189</v>
      </c>
      <c r="AO8" s="85">
        <v>282</v>
      </c>
      <c r="AP8" s="85">
        <v>305</v>
      </c>
      <c r="AQ8" s="85">
        <v>532</v>
      </c>
      <c r="AR8" s="85">
        <v>504</v>
      </c>
      <c r="AS8" s="85">
        <v>405</v>
      </c>
      <c r="AT8" s="85">
        <v>544</v>
      </c>
      <c r="AU8" s="85">
        <v>500</v>
      </c>
      <c r="AV8" s="85">
        <v>439</v>
      </c>
      <c r="AW8" s="85">
        <v>339</v>
      </c>
      <c r="AX8" s="86">
        <v>529</v>
      </c>
      <c r="AY8" s="86">
        <v>448</v>
      </c>
      <c r="AZ8" s="86">
        <v>472</v>
      </c>
      <c r="BA8" s="86">
        <v>542</v>
      </c>
      <c r="BB8" s="86">
        <v>501</v>
      </c>
      <c r="BC8" s="86">
        <v>454</v>
      </c>
      <c r="BD8" s="86">
        <v>271</v>
      </c>
      <c r="BE8" s="86">
        <v>270</v>
      </c>
      <c r="BF8" s="86">
        <v>351</v>
      </c>
      <c r="BG8" s="86">
        <v>432</v>
      </c>
      <c r="BH8" s="86">
        <v>360</v>
      </c>
      <c r="BI8" s="86">
        <v>456</v>
      </c>
      <c r="BJ8" s="86">
        <v>320</v>
      </c>
      <c r="BK8" s="86">
        <v>275</v>
      </c>
      <c r="BL8" s="86">
        <v>294</v>
      </c>
      <c r="BM8" s="86">
        <v>242</v>
      </c>
      <c r="BN8" s="86">
        <v>188</v>
      </c>
      <c r="BO8" s="86">
        <v>335</v>
      </c>
      <c r="BP8" s="86">
        <v>447</v>
      </c>
      <c r="BQ8" s="86">
        <v>328</v>
      </c>
      <c r="BR8" s="85">
        <v>356</v>
      </c>
      <c r="BS8" s="85">
        <v>387</v>
      </c>
      <c r="BT8" s="85">
        <v>476</v>
      </c>
      <c r="BU8" s="85">
        <v>592</v>
      </c>
      <c r="BV8" s="67">
        <v>889</v>
      </c>
      <c r="BW8" s="67">
        <v>765</v>
      </c>
      <c r="BX8" s="67">
        <v>1131</v>
      </c>
      <c r="BY8" s="67">
        <v>1455</v>
      </c>
      <c r="BZ8" s="68">
        <v>1218.8928118393233</v>
      </c>
      <c r="CA8" s="68">
        <v>1230.2002114164904</v>
      </c>
      <c r="CB8" s="68">
        <v>1241.5076109936572</v>
      </c>
      <c r="CC8" s="68">
        <v>1252.8150105708246</v>
      </c>
      <c r="CD8" s="68">
        <v>1264.1224101479913</v>
      </c>
      <c r="CE8" s="68">
        <v>1275.4298097251585</v>
      </c>
      <c r="CF8" s="68">
        <v>1286.7372093023255</v>
      </c>
      <c r="CG8" s="68">
        <v>1298.0446088794924</v>
      </c>
      <c r="CH8" s="87">
        <v>143800</v>
      </c>
      <c r="CI8" s="467">
        <v>145883</v>
      </c>
      <c r="CJ8" s="467">
        <v>145279.44500000001</v>
      </c>
      <c r="CK8" s="467">
        <v>146006.288</v>
      </c>
      <c r="CL8" s="468">
        <v>146750.21999999997</v>
      </c>
      <c r="CM8" s="19" t="s">
        <v>29</v>
      </c>
      <c r="CN8" s="70">
        <v>232</v>
      </c>
      <c r="CO8" s="70">
        <v>226</v>
      </c>
      <c r="CP8" s="70">
        <v>239</v>
      </c>
      <c r="CQ8" s="70">
        <v>254</v>
      </c>
      <c r="CR8" s="70">
        <v>230</v>
      </c>
      <c r="CS8" s="70">
        <v>220</v>
      </c>
      <c r="CT8" s="70">
        <v>272</v>
      </c>
      <c r="CU8" s="70">
        <v>333</v>
      </c>
      <c r="CV8" s="70">
        <v>339</v>
      </c>
      <c r="CW8" s="70">
        <v>312</v>
      </c>
      <c r="CX8" s="70">
        <v>258</v>
      </c>
      <c r="CY8" s="70">
        <v>268</v>
      </c>
      <c r="CZ8" s="70">
        <v>244</v>
      </c>
      <c r="DA8" s="70">
        <v>266</v>
      </c>
      <c r="DB8" s="70">
        <v>228</v>
      </c>
      <c r="DC8" s="70">
        <v>222</v>
      </c>
      <c r="DD8" s="70">
        <v>221</v>
      </c>
      <c r="DE8" s="70">
        <v>249</v>
      </c>
      <c r="DF8" s="70">
        <v>295</v>
      </c>
      <c r="DG8" s="70">
        <v>273</v>
      </c>
      <c r="DH8" s="70">
        <v>323</v>
      </c>
      <c r="DI8" s="70">
        <v>334</v>
      </c>
      <c r="DJ8" s="70">
        <v>265</v>
      </c>
      <c r="DK8" s="70">
        <v>283</v>
      </c>
      <c r="DL8" s="46">
        <v>212</v>
      </c>
      <c r="DM8" s="46">
        <v>270</v>
      </c>
      <c r="DN8" s="46">
        <v>211</v>
      </c>
      <c r="DO8" s="46">
        <v>236</v>
      </c>
      <c r="DP8" s="46">
        <v>241</v>
      </c>
      <c r="DQ8" s="46">
        <v>216</v>
      </c>
      <c r="DR8" s="46">
        <v>231</v>
      </c>
      <c r="DS8" s="46">
        <v>237</v>
      </c>
      <c r="DT8" s="46">
        <v>342</v>
      </c>
      <c r="DU8" s="46">
        <v>267</v>
      </c>
      <c r="DV8" s="46">
        <v>254</v>
      </c>
      <c r="DW8" s="46">
        <v>247</v>
      </c>
      <c r="DX8" s="46">
        <v>245</v>
      </c>
      <c r="DY8" s="46">
        <v>276</v>
      </c>
      <c r="DZ8" s="46">
        <v>219</v>
      </c>
      <c r="EA8" s="46">
        <v>268</v>
      </c>
      <c r="EB8" s="46">
        <v>242</v>
      </c>
      <c r="EC8" s="46">
        <v>248</v>
      </c>
      <c r="ED8" s="46">
        <v>267</v>
      </c>
      <c r="EE8" s="46">
        <v>295</v>
      </c>
      <c r="EF8" s="46">
        <v>343</v>
      </c>
      <c r="EG8" s="46">
        <v>279</v>
      </c>
      <c r="EH8" s="46">
        <v>266</v>
      </c>
      <c r="EI8" s="46">
        <v>262</v>
      </c>
      <c r="EJ8" s="46">
        <v>237</v>
      </c>
      <c r="EK8" s="46">
        <v>256</v>
      </c>
      <c r="EL8" s="46">
        <v>215</v>
      </c>
      <c r="EM8" s="46">
        <v>246</v>
      </c>
      <c r="EN8" s="46">
        <v>214</v>
      </c>
      <c r="EO8" s="46">
        <v>238</v>
      </c>
      <c r="EP8" s="46">
        <v>251</v>
      </c>
      <c r="EQ8" s="46">
        <v>267</v>
      </c>
      <c r="ER8" s="46">
        <v>281</v>
      </c>
      <c r="ES8" s="46">
        <v>206</v>
      </c>
      <c r="ET8" s="46">
        <v>807</v>
      </c>
      <c r="EU8" s="46">
        <v>708</v>
      </c>
      <c r="EV8" s="46">
        <v>698</v>
      </c>
      <c r="EW8" s="46">
        <v>799</v>
      </c>
      <c r="EX8" s="71">
        <v>757.90562613430131</v>
      </c>
      <c r="EY8" s="71">
        <v>756.38656987295826</v>
      </c>
      <c r="EZ8" s="71">
        <v>754.86751361161532</v>
      </c>
      <c r="FA8" s="71">
        <v>753.34845735027227</v>
      </c>
      <c r="FB8" s="71">
        <v>751.82940108892922</v>
      </c>
      <c r="FC8" s="71">
        <v>750.31034482758628</v>
      </c>
      <c r="FD8" s="71">
        <v>748.79128856624322</v>
      </c>
      <c r="FE8" s="71">
        <v>747.27223230490017</v>
      </c>
      <c r="FF8" s="72">
        <v>175538</v>
      </c>
      <c r="FG8" s="72">
        <v>177643</v>
      </c>
      <c r="FH8" s="476">
        <v>180097</v>
      </c>
      <c r="FI8" s="476">
        <v>179508.761</v>
      </c>
      <c r="FJ8" s="476">
        <v>180374.992</v>
      </c>
      <c r="FK8" s="476">
        <v>181303.383</v>
      </c>
    </row>
    <row r="9" spans="1:167">
      <c r="A9" s="73" t="s">
        <v>905</v>
      </c>
      <c r="B9" s="19" t="s">
        <v>906</v>
      </c>
      <c r="C9" s="74" t="s">
        <v>654</v>
      </c>
      <c r="D9" s="75" t="s">
        <v>34</v>
      </c>
      <c r="E9" s="76">
        <v>160</v>
      </c>
      <c r="F9" s="77">
        <v>175</v>
      </c>
      <c r="G9" s="410">
        <v>180</v>
      </c>
      <c r="H9" s="78">
        <v>25135</v>
      </c>
      <c r="I9" s="77">
        <v>26070</v>
      </c>
      <c r="J9" s="410">
        <v>27067</v>
      </c>
      <c r="K9" s="410">
        <v>27733.345999999998</v>
      </c>
      <c r="L9" s="418">
        <v>28478.601000000002</v>
      </c>
      <c r="M9" s="79">
        <v>640.5</v>
      </c>
      <c r="N9" s="80">
        <v>663.6</v>
      </c>
      <c r="O9" s="421">
        <v>682.8</v>
      </c>
      <c r="P9" s="71">
        <v>185</v>
      </c>
      <c r="Q9" s="75" t="s">
        <v>34</v>
      </c>
      <c r="R9" s="81">
        <v>75</v>
      </c>
      <c r="S9" s="77">
        <v>80</v>
      </c>
      <c r="T9" s="452">
        <v>0</v>
      </c>
      <c r="U9" s="77">
        <v>120</v>
      </c>
      <c r="V9" s="77">
        <v>95</v>
      </c>
      <c r="W9" s="452">
        <v>0</v>
      </c>
      <c r="X9" s="82">
        <v>62.8</v>
      </c>
      <c r="Y9" s="83">
        <v>83</v>
      </c>
      <c r="Z9" s="443">
        <v>0</v>
      </c>
      <c r="AA9" s="63">
        <v>81</v>
      </c>
      <c r="AB9" s="63">
        <v>94</v>
      </c>
      <c r="AC9" s="19" t="s">
        <v>34</v>
      </c>
      <c r="AD9" s="84">
        <v>127</v>
      </c>
      <c r="AE9" s="85">
        <v>160</v>
      </c>
      <c r="AF9" s="85">
        <v>154</v>
      </c>
      <c r="AG9" s="85">
        <v>292</v>
      </c>
      <c r="AH9" s="85">
        <v>277</v>
      </c>
      <c r="AI9" s="85">
        <v>186</v>
      </c>
      <c r="AJ9" s="85">
        <v>252</v>
      </c>
      <c r="AK9" s="85">
        <v>215</v>
      </c>
      <c r="AL9" s="85">
        <v>109</v>
      </c>
      <c r="AM9" s="85">
        <v>134</v>
      </c>
      <c r="AN9" s="85">
        <v>95</v>
      </c>
      <c r="AO9" s="85">
        <v>229</v>
      </c>
      <c r="AP9" s="85">
        <v>310</v>
      </c>
      <c r="AQ9" s="85">
        <v>351</v>
      </c>
      <c r="AR9" s="85">
        <v>306</v>
      </c>
      <c r="AS9" s="85">
        <v>271</v>
      </c>
      <c r="AT9" s="85">
        <v>376</v>
      </c>
      <c r="AU9" s="85">
        <v>426</v>
      </c>
      <c r="AV9" s="85">
        <v>307</v>
      </c>
      <c r="AW9" s="85">
        <v>359</v>
      </c>
      <c r="AX9" s="86">
        <v>250</v>
      </c>
      <c r="AY9" s="86">
        <v>360</v>
      </c>
      <c r="AZ9" s="86">
        <v>257</v>
      </c>
      <c r="BA9" s="86">
        <v>218</v>
      </c>
      <c r="BB9" s="86">
        <v>192</v>
      </c>
      <c r="BC9" s="86">
        <v>266</v>
      </c>
      <c r="BD9" s="86">
        <v>346</v>
      </c>
      <c r="BE9" s="86">
        <v>224</v>
      </c>
      <c r="BF9" s="86">
        <v>230</v>
      </c>
      <c r="BG9" s="86">
        <v>257</v>
      </c>
      <c r="BH9" s="86">
        <v>146</v>
      </c>
      <c r="BI9" s="86">
        <v>230</v>
      </c>
      <c r="BJ9" s="86">
        <v>151</v>
      </c>
      <c r="BK9" s="86">
        <v>206</v>
      </c>
      <c r="BL9" s="86">
        <v>240</v>
      </c>
      <c r="BM9" s="86">
        <v>174</v>
      </c>
      <c r="BN9" s="86">
        <v>439</v>
      </c>
      <c r="BO9" s="86">
        <v>497</v>
      </c>
      <c r="BP9" s="86">
        <v>511</v>
      </c>
      <c r="BQ9" s="86">
        <v>561</v>
      </c>
      <c r="BR9" s="85">
        <v>597</v>
      </c>
      <c r="BS9" s="85">
        <v>124</v>
      </c>
      <c r="BT9" s="85">
        <v>315</v>
      </c>
      <c r="BU9" s="85">
        <v>279</v>
      </c>
      <c r="BV9" s="67">
        <v>597</v>
      </c>
      <c r="BW9" s="67">
        <v>1110</v>
      </c>
      <c r="BX9" s="67">
        <v>1669</v>
      </c>
      <c r="BY9" s="67">
        <v>718</v>
      </c>
      <c r="BZ9" s="68">
        <v>1082.3871035940804</v>
      </c>
      <c r="CA9" s="68">
        <v>1116.0632135306555</v>
      </c>
      <c r="CB9" s="68">
        <v>1149.7393234672304</v>
      </c>
      <c r="CC9" s="68">
        <v>1183.4154334038055</v>
      </c>
      <c r="CD9" s="68">
        <v>1217.0915433403807</v>
      </c>
      <c r="CE9" s="68">
        <v>1250.7676532769558</v>
      </c>
      <c r="CF9" s="68">
        <v>1284.4437632135309</v>
      </c>
      <c r="CG9" s="68">
        <v>1318.1198731501058</v>
      </c>
      <c r="CH9" s="87">
        <v>123100</v>
      </c>
      <c r="CI9" s="467">
        <v>124626</v>
      </c>
      <c r="CJ9" s="467">
        <v>126052.39800000002</v>
      </c>
      <c r="CK9" s="467">
        <v>127498.26699999999</v>
      </c>
      <c r="CL9" s="468">
        <v>129018.59100000004</v>
      </c>
      <c r="CM9" s="19" t="s">
        <v>34</v>
      </c>
      <c r="CN9" s="70">
        <v>220</v>
      </c>
      <c r="CO9" s="70">
        <v>205</v>
      </c>
      <c r="CP9" s="70">
        <v>217</v>
      </c>
      <c r="CQ9" s="70">
        <v>202</v>
      </c>
      <c r="CR9" s="70">
        <v>210</v>
      </c>
      <c r="CS9" s="70">
        <v>189</v>
      </c>
      <c r="CT9" s="70">
        <v>220</v>
      </c>
      <c r="CU9" s="70">
        <v>198</v>
      </c>
      <c r="CV9" s="70">
        <v>263</v>
      </c>
      <c r="CW9" s="70">
        <v>247</v>
      </c>
      <c r="CX9" s="70">
        <v>209</v>
      </c>
      <c r="CY9" s="70">
        <v>262</v>
      </c>
      <c r="CZ9" s="70">
        <v>265</v>
      </c>
      <c r="DA9" s="70">
        <v>237</v>
      </c>
      <c r="DB9" s="70">
        <v>224</v>
      </c>
      <c r="DC9" s="70">
        <v>220</v>
      </c>
      <c r="DD9" s="70">
        <v>244</v>
      </c>
      <c r="DE9" s="70">
        <v>308</v>
      </c>
      <c r="DF9" s="70">
        <v>276</v>
      </c>
      <c r="DG9" s="70">
        <v>258</v>
      </c>
      <c r="DH9" s="70">
        <v>326</v>
      </c>
      <c r="DI9" s="70">
        <v>296</v>
      </c>
      <c r="DJ9" s="70">
        <v>262</v>
      </c>
      <c r="DK9" s="70">
        <v>247</v>
      </c>
      <c r="DL9" s="46">
        <v>246</v>
      </c>
      <c r="DM9" s="46">
        <v>245</v>
      </c>
      <c r="DN9" s="46">
        <v>203</v>
      </c>
      <c r="DO9" s="46">
        <v>229</v>
      </c>
      <c r="DP9" s="46">
        <v>212</v>
      </c>
      <c r="DQ9" s="46">
        <v>213</v>
      </c>
      <c r="DR9" s="46">
        <v>223</v>
      </c>
      <c r="DS9" s="46">
        <v>238</v>
      </c>
      <c r="DT9" s="46">
        <v>292</v>
      </c>
      <c r="DU9" s="46">
        <v>247</v>
      </c>
      <c r="DV9" s="46">
        <v>218</v>
      </c>
      <c r="DW9" s="46">
        <v>262</v>
      </c>
      <c r="DX9" s="46">
        <v>263</v>
      </c>
      <c r="DY9" s="46">
        <v>253</v>
      </c>
      <c r="DZ9" s="46">
        <v>258</v>
      </c>
      <c r="EA9" s="46">
        <v>256</v>
      </c>
      <c r="EB9" s="46">
        <v>224</v>
      </c>
      <c r="EC9" s="46">
        <v>209</v>
      </c>
      <c r="ED9" s="46">
        <v>247</v>
      </c>
      <c r="EE9" s="46">
        <v>255</v>
      </c>
      <c r="EF9" s="46">
        <v>323</v>
      </c>
      <c r="EG9" s="46">
        <v>240</v>
      </c>
      <c r="EH9" s="46">
        <v>249</v>
      </c>
      <c r="EI9" s="46">
        <v>233</v>
      </c>
      <c r="EJ9" s="46">
        <v>264</v>
      </c>
      <c r="EK9" s="46">
        <v>272</v>
      </c>
      <c r="EL9" s="46">
        <v>242</v>
      </c>
      <c r="EM9" s="46">
        <v>248</v>
      </c>
      <c r="EN9" s="46">
        <v>255</v>
      </c>
      <c r="EO9" s="46">
        <v>235</v>
      </c>
      <c r="EP9" s="46">
        <v>236</v>
      </c>
      <c r="EQ9" s="46">
        <v>267</v>
      </c>
      <c r="ER9" s="46">
        <v>317</v>
      </c>
      <c r="ES9" s="46">
        <v>217</v>
      </c>
      <c r="ET9" s="46">
        <v>722</v>
      </c>
      <c r="EU9" s="46">
        <v>778</v>
      </c>
      <c r="EV9" s="46">
        <v>738</v>
      </c>
      <c r="EW9" s="46">
        <v>820</v>
      </c>
      <c r="EX9" s="71">
        <v>788.26091236273032</v>
      </c>
      <c r="EY9" s="71">
        <v>793.24414777446248</v>
      </c>
      <c r="EZ9" s="71">
        <v>798.22738318619463</v>
      </c>
      <c r="FA9" s="71">
        <v>803.21061859792667</v>
      </c>
      <c r="FB9" s="71">
        <v>808.19385400965893</v>
      </c>
      <c r="FC9" s="71">
        <v>813.17708942139097</v>
      </c>
      <c r="FD9" s="71">
        <v>818.16032483312313</v>
      </c>
      <c r="FE9" s="71">
        <v>823.14356024485528</v>
      </c>
      <c r="FF9" s="72">
        <v>157840</v>
      </c>
      <c r="FG9" s="72">
        <v>159207</v>
      </c>
      <c r="FH9" s="476">
        <v>161382</v>
      </c>
      <c r="FI9" s="476">
        <v>162676.60500000001</v>
      </c>
      <c r="FJ9" s="476">
        <v>164397.052</v>
      </c>
      <c r="FK9" s="476">
        <v>166176.50200000001</v>
      </c>
    </row>
    <row r="10" spans="1:167">
      <c r="A10" s="73" t="s">
        <v>907</v>
      </c>
      <c r="B10" s="19" t="s">
        <v>908</v>
      </c>
      <c r="C10" s="74" t="s">
        <v>655</v>
      </c>
      <c r="D10" s="75" t="s">
        <v>39</v>
      </c>
      <c r="E10" s="76">
        <v>255</v>
      </c>
      <c r="F10" s="77">
        <v>210</v>
      </c>
      <c r="G10" s="410">
        <v>215</v>
      </c>
      <c r="H10" s="78">
        <v>37505</v>
      </c>
      <c r="I10" s="77">
        <v>38520</v>
      </c>
      <c r="J10" s="410">
        <v>39198</v>
      </c>
      <c r="K10" s="410">
        <v>39751.574000000001</v>
      </c>
      <c r="L10" s="418">
        <v>40184.825000000004</v>
      </c>
      <c r="M10" s="79">
        <v>677.2</v>
      </c>
      <c r="N10" s="80">
        <v>547.79999999999995</v>
      </c>
      <c r="O10" s="421">
        <v>555.6</v>
      </c>
      <c r="P10" s="71">
        <v>195</v>
      </c>
      <c r="Q10" s="75" t="s">
        <v>39</v>
      </c>
      <c r="R10" s="81">
        <v>175</v>
      </c>
      <c r="S10" s="77">
        <v>180</v>
      </c>
      <c r="T10" s="452">
        <v>270</v>
      </c>
      <c r="U10" s="77">
        <v>200</v>
      </c>
      <c r="V10" s="77">
        <v>210</v>
      </c>
      <c r="W10" s="452">
        <v>300</v>
      </c>
      <c r="X10" s="82">
        <v>87.1</v>
      </c>
      <c r="Y10" s="83">
        <v>86.1</v>
      </c>
      <c r="Z10" s="443">
        <v>90</v>
      </c>
      <c r="AA10" s="63">
        <v>221</v>
      </c>
      <c r="AB10" s="63">
        <v>241</v>
      </c>
      <c r="AC10" s="19" t="s">
        <v>39</v>
      </c>
      <c r="AD10" s="84">
        <v>266</v>
      </c>
      <c r="AE10" s="85">
        <v>364</v>
      </c>
      <c r="AF10" s="85">
        <v>290</v>
      </c>
      <c r="AG10" s="85">
        <v>238</v>
      </c>
      <c r="AH10" s="85">
        <v>348</v>
      </c>
      <c r="AI10" s="85">
        <v>422</v>
      </c>
      <c r="AJ10" s="85">
        <v>271</v>
      </c>
      <c r="AK10" s="85">
        <v>318</v>
      </c>
      <c r="AL10" s="85">
        <v>373</v>
      </c>
      <c r="AM10" s="85">
        <v>319</v>
      </c>
      <c r="AN10" s="85">
        <v>372</v>
      </c>
      <c r="AO10" s="85">
        <v>334</v>
      </c>
      <c r="AP10" s="85">
        <v>388</v>
      </c>
      <c r="AQ10" s="85">
        <v>242</v>
      </c>
      <c r="AR10" s="85">
        <v>255</v>
      </c>
      <c r="AS10" s="85">
        <v>316</v>
      </c>
      <c r="AT10" s="85">
        <v>280</v>
      </c>
      <c r="AU10" s="85">
        <v>437</v>
      </c>
      <c r="AV10" s="85">
        <v>358</v>
      </c>
      <c r="AW10" s="85">
        <v>383</v>
      </c>
      <c r="AX10" s="86">
        <v>176</v>
      </c>
      <c r="AY10" s="86">
        <v>334</v>
      </c>
      <c r="AZ10" s="86">
        <v>268</v>
      </c>
      <c r="BA10" s="86">
        <v>392</v>
      </c>
      <c r="BB10" s="86">
        <v>501</v>
      </c>
      <c r="BC10" s="86">
        <v>269</v>
      </c>
      <c r="BD10" s="86">
        <v>277</v>
      </c>
      <c r="BE10" s="86">
        <v>456</v>
      </c>
      <c r="BF10" s="86">
        <v>436</v>
      </c>
      <c r="BG10" s="86">
        <v>234</v>
      </c>
      <c r="BH10" s="86">
        <v>331</v>
      </c>
      <c r="BI10" s="86">
        <v>282</v>
      </c>
      <c r="BJ10" s="86">
        <v>335</v>
      </c>
      <c r="BK10" s="86">
        <v>370</v>
      </c>
      <c r="BL10" s="86">
        <v>428</v>
      </c>
      <c r="BM10" s="86">
        <v>516</v>
      </c>
      <c r="BN10" s="86">
        <v>659</v>
      </c>
      <c r="BO10" s="86">
        <v>604</v>
      </c>
      <c r="BP10" s="86">
        <v>401</v>
      </c>
      <c r="BQ10" s="86">
        <v>402</v>
      </c>
      <c r="BR10" s="85">
        <v>508</v>
      </c>
      <c r="BS10" s="85">
        <v>618</v>
      </c>
      <c r="BT10" s="85">
        <v>720</v>
      </c>
      <c r="BU10" s="85">
        <v>722</v>
      </c>
      <c r="BV10" s="67">
        <v>1133</v>
      </c>
      <c r="BW10" s="67">
        <v>1779</v>
      </c>
      <c r="BX10" s="67">
        <v>1311</v>
      </c>
      <c r="BY10" s="67">
        <v>2060</v>
      </c>
      <c r="BZ10" s="68">
        <v>1577.3150105708244</v>
      </c>
      <c r="CA10" s="68">
        <v>1632.332980972516</v>
      </c>
      <c r="CB10" s="68">
        <v>1687.3509513742074</v>
      </c>
      <c r="CC10" s="68">
        <v>1742.3689217758986</v>
      </c>
      <c r="CD10" s="68">
        <v>1797.3868921775897</v>
      </c>
      <c r="CE10" s="68">
        <v>1852.4048625792811</v>
      </c>
      <c r="CF10" s="68">
        <v>1907.4228329809728</v>
      </c>
      <c r="CG10" s="68">
        <v>1962.4408033826637</v>
      </c>
      <c r="CH10" s="87">
        <v>179700</v>
      </c>
      <c r="CI10" s="467">
        <v>181780</v>
      </c>
      <c r="CJ10" s="467">
        <v>182811.07699999996</v>
      </c>
      <c r="CK10" s="467">
        <v>184296.899</v>
      </c>
      <c r="CL10" s="468">
        <v>185886.59099999999</v>
      </c>
      <c r="CM10" s="19" t="s">
        <v>39</v>
      </c>
      <c r="CN10" s="70">
        <v>342</v>
      </c>
      <c r="CO10" s="70">
        <v>320</v>
      </c>
      <c r="CP10" s="70">
        <v>303</v>
      </c>
      <c r="CQ10" s="70">
        <v>293</v>
      </c>
      <c r="CR10" s="70">
        <v>274</v>
      </c>
      <c r="CS10" s="70">
        <v>290</v>
      </c>
      <c r="CT10" s="70">
        <v>334</v>
      </c>
      <c r="CU10" s="70">
        <v>344</v>
      </c>
      <c r="CV10" s="70">
        <v>525</v>
      </c>
      <c r="CW10" s="70">
        <v>431</v>
      </c>
      <c r="CX10" s="70">
        <v>434</v>
      </c>
      <c r="CY10" s="70">
        <v>335</v>
      </c>
      <c r="CZ10" s="70">
        <v>346</v>
      </c>
      <c r="DA10" s="70">
        <v>357</v>
      </c>
      <c r="DB10" s="70">
        <v>322</v>
      </c>
      <c r="DC10" s="70">
        <v>301</v>
      </c>
      <c r="DD10" s="70">
        <v>324</v>
      </c>
      <c r="DE10" s="70">
        <v>337</v>
      </c>
      <c r="DF10" s="70">
        <v>344</v>
      </c>
      <c r="DG10" s="70">
        <v>384</v>
      </c>
      <c r="DH10" s="70">
        <v>379</v>
      </c>
      <c r="DI10" s="70">
        <v>359</v>
      </c>
      <c r="DJ10" s="70">
        <v>329</v>
      </c>
      <c r="DK10" s="70">
        <v>350</v>
      </c>
      <c r="DL10" s="46">
        <v>365</v>
      </c>
      <c r="DM10" s="46">
        <v>296</v>
      </c>
      <c r="DN10" s="46">
        <v>293</v>
      </c>
      <c r="DO10" s="46">
        <v>287</v>
      </c>
      <c r="DP10" s="46">
        <v>278</v>
      </c>
      <c r="DQ10" s="46">
        <v>262</v>
      </c>
      <c r="DR10" s="46">
        <v>305</v>
      </c>
      <c r="DS10" s="46">
        <v>321</v>
      </c>
      <c r="DT10" s="46">
        <v>371</v>
      </c>
      <c r="DU10" s="46">
        <v>342</v>
      </c>
      <c r="DV10" s="46">
        <v>347</v>
      </c>
      <c r="DW10" s="46">
        <v>338</v>
      </c>
      <c r="DX10" s="46">
        <v>323</v>
      </c>
      <c r="DY10" s="46">
        <v>343</v>
      </c>
      <c r="DZ10" s="46">
        <v>341</v>
      </c>
      <c r="EA10" s="46">
        <v>346</v>
      </c>
      <c r="EB10" s="46">
        <v>325</v>
      </c>
      <c r="EC10" s="46">
        <v>303</v>
      </c>
      <c r="ED10" s="46">
        <v>367</v>
      </c>
      <c r="EE10" s="46">
        <v>369</v>
      </c>
      <c r="EF10" s="46">
        <v>425</v>
      </c>
      <c r="EG10" s="46">
        <v>357</v>
      </c>
      <c r="EH10" s="46">
        <v>350</v>
      </c>
      <c r="EI10" s="46">
        <v>382</v>
      </c>
      <c r="EJ10" s="46">
        <v>167</v>
      </c>
      <c r="EK10" s="46">
        <v>133</v>
      </c>
      <c r="EL10" s="46">
        <v>122</v>
      </c>
      <c r="EM10" s="46">
        <v>139</v>
      </c>
      <c r="EN10" s="46">
        <v>120</v>
      </c>
      <c r="EO10" s="46">
        <v>125</v>
      </c>
      <c r="EP10" s="46">
        <v>329</v>
      </c>
      <c r="EQ10" s="46">
        <v>390</v>
      </c>
      <c r="ER10" s="46">
        <v>415</v>
      </c>
      <c r="ES10" s="46">
        <v>335</v>
      </c>
      <c r="ET10" s="46">
        <v>1089</v>
      </c>
      <c r="EU10" s="46">
        <v>422</v>
      </c>
      <c r="EV10" s="46">
        <v>384</v>
      </c>
      <c r="EW10" s="46">
        <v>1134</v>
      </c>
      <c r="EX10" s="71">
        <v>825.71094158540723</v>
      </c>
      <c r="EY10" s="71">
        <v>812.79937863360919</v>
      </c>
      <c r="EZ10" s="71">
        <v>799.88781568181116</v>
      </c>
      <c r="FA10" s="71">
        <v>786.97625273001336</v>
      </c>
      <c r="FB10" s="71">
        <v>774.06468977821521</v>
      </c>
      <c r="FC10" s="71">
        <v>761.15312682641729</v>
      </c>
      <c r="FD10" s="71">
        <v>748.24156387461937</v>
      </c>
      <c r="FE10" s="71">
        <v>735.33000092282145</v>
      </c>
      <c r="FF10" s="72">
        <v>232774</v>
      </c>
      <c r="FG10" s="72">
        <v>234271</v>
      </c>
      <c r="FH10" s="476">
        <v>236687</v>
      </c>
      <c r="FI10" s="476">
        <v>238445.89</v>
      </c>
      <c r="FJ10" s="476">
        <v>240685.473</v>
      </c>
      <c r="FK10" s="476">
        <v>243043.31599999999</v>
      </c>
    </row>
    <row r="11" spans="1:167">
      <c r="A11" s="73" t="s">
        <v>909</v>
      </c>
      <c r="B11" s="19" t="s">
        <v>910</v>
      </c>
      <c r="C11" s="74" t="s">
        <v>656</v>
      </c>
      <c r="D11" s="75" t="s">
        <v>45</v>
      </c>
      <c r="E11" s="76">
        <v>1000</v>
      </c>
      <c r="F11" s="77">
        <v>1045</v>
      </c>
      <c r="G11" s="410">
        <v>1015</v>
      </c>
      <c r="H11" s="78">
        <v>138770</v>
      </c>
      <c r="I11" s="77">
        <v>141035</v>
      </c>
      <c r="J11" s="410">
        <v>142548</v>
      </c>
      <c r="K11" s="410">
        <v>143808.32500000001</v>
      </c>
      <c r="L11" s="418">
        <v>145466.74600000001</v>
      </c>
      <c r="M11" s="79">
        <v>720.6</v>
      </c>
      <c r="N11" s="80">
        <v>742.4</v>
      </c>
      <c r="O11" s="421">
        <v>721.1</v>
      </c>
      <c r="P11" s="71">
        <v>1024</v>
      </c>
      <c r="Q11" s="75" t="s">
        <v>45</v>
      </c>
      <c r="R11" s="81">
        <v>920</v>
      </c>
      <c r="S11" s="77">
        <v>910</v>
      </c>
      <c r="T11" s="452">
        <v>0</v>
      </c>
      <c r="U11" s="77">
        <v>1175</v>
      </c>
      <c r="V11" s="77">
        <v>1265</v>
      </c>
      <c r="W11" s="452">
        <v>0</v>
      </c>
      <c r="X11" s="82">
        <v>78.599999999999994</v>
      </c>
      <c r="Y11" s="83">
        <v>71.900000000000006</v>
      </c>
      <c r="Z11" s="443">
        <v>0</v>
      </c>
      <c r="AA11" s="63">
        <v>911</v>
      </c>
      <c r="AB11" s="63">
        <v>1265</v>
      </c>
      <c r="AC11" s="19" t="s">
        <v>45</v>
      </c>
      <c r="AD11" s="84">
        <v>3540</v>
      </c>
      <c r="AE11" s="85">
        <v>3110</v>
      </c>
      <c r="AF11" s="85">
        <v>4353</v>
      </c>
      <c r="AG11" s="85">
        <v>3134</v>
      </c>
      <c r="AH11" s="85">
        <v>4423</v>
      </c>
      <c r="AI11" s="85">
        <v>4464</v>
      </c>
      <c r="AJ11" s="85">
        <v>4357</v>
      </c>
      <c r="AK11" s="85">
        <v>4866</v>
      </c>
      <c r="AL11" s="85">
        <v>4569</v>
      </c>
      <c r="AM11" s="85">
        <v>4791</v>
      </c>
      <c r="AN11" s="85">
        <v>4641</v>
      </c>
      <c r="AO11" s="85">
        <v>4593</v>
      </c>
      <c r="AP11" s="85">
        <v>4522</v>
      </c>
      <c r="AQ11" s="85">
        <v>4414</v>
      </c>
      <c r="AR11" s="85">
        <v>4054</v>
      </c>
      <c r="AS11" s="85">
        <v>4170</v>
      </c>
      <c r="AT11" s="85">
        <v>3819</v>
      </c>
      <c r="AU11" s="85">
        <v>3569</v>
      </c>
      <c r="AV11" s="85">
        <v>3020</v>
      </c>
      <c r="AW11" s="85">
        <v>3998</v>
      </c>
      <c r="AX11" s="86">
        <v>4335</v>
      </c>
      <c r="AY11" s="86">
        <v>4215</v>
      </c>
      <c r="AZ11" s="86">
        <v>4489</v>
      </c>
      <c r="BA11" s="86">
        <v>4129</v>
      </c>
      <c r="BB11" s="86">
        <v>4587</v>
      </c>
      <c r="BC11" s="86">
        <v>4021</v>
      </c>
      <c r="BD11" s="86">
        <v>4196</v>
      </c>
      <c r="BE11" s="86">
        <v>4378</v>
      </c>
      <c r="BF11" s="86">
        <v>4363</v>
      </c>
      <c r="BG11" s="86">
        <v>4696</v>
      </c>
      <c r="BH11" s="86">
        <v>5471</v>
      </c>
      <c r="BI11" s="86">
        <v>4513</v>
      </c>
      <c r="BJ11" s="86">
        <v>4829</v>
      </c>
      <c r="BK11" s="86">
        <v>5252</v>
      </c>
      <c r="BL11" s="86">
        <v>4930</v>
      </c>
      <c r="BM11" s="86">
        <v>3712</v>
      </c>
      <c r="BN11" s="86">
        <v>4650</v>
      </c>
      <c r="BO11" s="86">
        <v>5209</v>
      </c>
      <c r="BP11" s="86">
        <v>4525</v>
      </c>
      <c r="BQ11" s="86">
        <v>4711</v>
      </c>
      <c r="BR11" s="85">
        <v>4573</v>
      </c>
      <c r="BS11" s="85">
        <v>5007</v>
      </c>
      <c r="BT11" s="85">
        <v>3858</v>
      </c>
      <c r="BU11" s="85">
        <v>4746</v>
      </c>
      <c r="BV11" s="67">
        <v>15011</v>
      </c>
      <c r="BW11" s="67">
        <v>13571</v>
      </c>
      <c r="BX11" s="67">
        <v>13809</v>
      </c>
      <c r="BY11" s="67">
        <v>13611</v>
      </c>
      <c r="BZ11" s="68">
        <v>14290.654968287527</v>
      </c>
      <c r="CA11" s="68">
        <v>14445.537420718818</v>
      </c>
      <c r="CB11" s="68">
        <v>14600.419873150107</v>
      </c>
      <c r="CC11" s="68">
        <v>14755.302325581395</v>
      </c>
      <c r="CD11" s="68">
        <v>14910.184778012685</v>
      </c>
      <c r="CE11" s="68">
        <v>15065.067230443976</v>
      </c>
      <c r="CF11" s="68">
        <v>15219.949682875264</v>
      </c>
      <c r="CG11" s="68">
        <v>15374.832135306555</v>
      </c>
      <c r="CH11" s="87">
        <v>808300</v>
      </c>
      <c r="CI11" s="467">
        <v>812307</v>
      </c>
      <c r="CJ11" s="467">
        <v>821058.95600000012</v>
      </c>
      <c r="CK11" s="467">
        <v>827855.82799999998</v>
      </c>
      <c r="CL11" s="468">
        <v>834603.37699999975</v>
      </c>
      <c r="CM11" s="19" t="s">
        <v>45</v>
      </c>
      <c r="CN11" s="70">
        <v>2251</v>
      </c>
      <c r="CO11" s="70">
        <v>2136</v>
      </c>
      <c r="CP11" s="70">
        <v>2200</v>
      </c>
      <c r="CQ11" s="70">
        <v>2091</v>
      </c>
      <c r="CR11" s="70">
        <v>2003</v>
      </c>
      <c r="CS11" s="70">
        <v>2110</v>
      </c>
      <c r="CT11" s="70">
        <v>2372</v>
      </c>
      <c r="CU11" s="70">
        <v>2339</v>
      </c>
      <c r="CV11" s="70">
        <v>2775</v>
      </c>
      <c r="CW11" s="70">
        <v>2467</v>
      </c>
      <c r="CX11" s="70">
        <v>2243</v>
      </c>
      <c r="CY11" s="70">
        <v>2342</v>
      </c>
      <c r="CZ11" s="70">
        <v>2247</v>
      </c>
      <c r="DA11" s="70">
        <v>2273</v>
      </c>
      <c r="DB11" s="70">
        <v>2225</v>
      </c>
      <c r="DC11" s="70">
        <v>2070</v>
      </c>
      <c r="DD11" s="70">
        <v>2042</v>
      </c>
      <c r="DE11" s="70">
        <v>2113</v>
      </c>
      <c r="DF11" s="70">
        <v>2325</v>
      </c>
      <c r="DG11" s="70">
        <v>2540</v>
      </c>
      <c r="DH11" s="70">
        <v>3055</v>
      </c>
      <c r="DI11" s="70">
        <v>2467</v>
      </c>
      <c r="DJ11" s="70">
        <v>2092</v>
      </c>
      <c r="DK11" s="70">
        <v>2305</v>
      </c>
      <c r="DL11" s="46">
        <v>2193</v>
      </c>
      <c r="DM11" s="46">
        <v>2106</v>
      </c>
      <c r="DN11" s="46">
        <v>2079</v>
      </c>
      <c r="DO11" s="46">
        <v>1925</v>
      </c>
      <c r="DP11" s="46">
        <v>1820</v>
      </c>
      <c r="DQ11" s="46">
        <v>1960</v>
      </c>
      <c r="DR11" s="46">
        <v>2043</v>
      </c>
      <c r="DS11" s="46">
        <v>2275</v>
      </c>
      <c r="DT11" s="46">
        <v>2594</v>
      </c>
      <c r="DU11" s="46">
        <v>2482</v>
      </c>
      <c r="DV11" s="46">
        <v>2459</v>
      </c>
      <c r="DW11" s="46">
        <v>2261</v>
      </c>
      <c r="DX11" s="46">
        <v>2269</v>
      </c>
      <c r="DY11" s="46">
        <v>2181</v>
      </c>
      <c r="DZ11" s="46">
        <v>2125</v>
      </c>
      <c r="EA11" s="46">
        <v>2252</v>
      </c>
      <c r="EB11" s="46">
        <v>2017</v>
      </c>
      <c r="EC11" s="46">
        <v>2089</v>
      </c>
      <c r="ED11" s="46">
        <v>2387</v>
      </c>
      <c r="EE11" s="46">
        <v>2388</v>
      </c>
      <c r="EF11" s="46">
        <v>2676</v>
      </c>
      <c r="EG11" s="46">
        <v>2198</v>
      </c>
      <c r="EH11" s="46">
        <v>2133</v>
      </c>
      <c r="EI11" s="46">
        <v>2394</v>
      </c>
      <c r="EJ11" s="46">
        <v>2382</v>
      </c>
      <c r="EK11" s="46">
        <v>2220</v>
      </c>
      <c r="EL11" s="46">
        <v>1988</v>
      </c>
      <c r="EM11" s="46">
        <v>2086</v>
      </c>
      <c r="EN11" s="46">
        <v>1875</v>
      </c>
      <c r="EO11" s="46">
        <v>1975</v>
      </c>
      <c r="EP11" s="46">
        <v>2176</v>
      </c>
      <c r="EQ11" s="46">
        <v>2288</v>
      </c>
      <c r="ER11" s="46">
        <v>2756</v>
      </c>
      <c r="ES11" s="46">
        <v>2256</v>
      </c>
      <c r="ET11" s="46">
        <v>6725</v>
      </c>
      <c r="EU11" s="46">
        <v>6590</v>
      </c>
      <c r="EV11" s="46">
        <v>5936</v>
      </c>
      <c r="EW11" s="46">
        <v>7220</v>
      </c>
      <c r="EX11" s="71">
        <v>6691.789627487773</v>
      </c>
      <c r="EY11" s="71">
        <v>6686.9367867359806</v>
      </c>
      <c r="EZ11" s="71">
        <v>6682.0839459841891</v>
      </c>
      <c r="FA11" s="71">
        <v>6677.2311052323976</v>
      </c>
      <c r="FB11" s="71">
        <v>6672.378264480606</v>
      </c>
      <c r="FC11" s="71">
        <v>6667.5254237288136</v>
      </c>
      <c r="FD11" s="71">
        <v>6662.6725829770221</v>
      </c>
      <c r="FE11" s="71">
        <v>6657.8197422252306</v>
      </c>
      <c r="FF11" s="72">
        <v>1074283</v>
      </c>
      <c r="FG11" s="72">
        <v>1085417</v>
      </c>
      <c r="FH11" s="476">
        <v>1092330</v>
      </c>
      <c r="FI11" s="476">
        <v>1101675.138</v>
      </c>
      <c r="FJ11" s="476">
        <v>1109761.4210000001</v>
      </c>
      <c r="FK11" s="476">
        <v>1118285.2139999999</v>
      </c>
    </row>
    <row r="12" spans="1:167">
      <c r="A12" s="73" t="s">
        <v>911</v>
      </c>
      <c r="B12" s="19" t="s">
        <v>912</v>
      </c>
      <c r="C12" s="74" t="s">
        <v>657</v>
      </c>
      <c r="D12" s="75" t="s">
        <v>48</v>
      </c>
      <c r="E12" s="76">
        <v>185</v>
      </c>
      <c r="F12" s="77">
        <v>195</v>
      </c>
      <c r="G12" s="410">
        <v>225</v>
      </c>
      <c r="H12" s="78">
        <v>19150</v>
      </c>
      <c r="I12" s="77">
        <v>19825</v>
      </c>
      <c r="J12" s="410">
        <v>20204</v>
      </c>
      <c r="K12" s="410">
        <v>20724.734</v>
      </c>
      <c r="L12" s="418">
        <v>21148.002000000008</v>
      </c>
      <c r="M12" s="79">
        <v>960.8</v>
      </c>
      <c r="N12" s="80">
        <v>988.7</v>
      </c>
      <c r="O12" s="421">
        <v>1140</v>
      </c>
      <c r="P12" s="71">
        <v>176</v>
      </c>
      <c r="Q12" s="75" t="s">
        <v>48</v>
      </c>
      <c r="R12" s="81">
        <v>60</v>
      </c>
      <c r="S12" s="77">
        <v>75</v>
      </c>
      <c r="T12" s="452">
        <v>55</v>
      </c>
      <c r="U12" s="77">
        <v>70</v>
      </c>
      <c r="V12" s="77">
        <v>85</v>
      </c>
      <c r="W12" s="452">
        <v>55</v>
      </c>
      <c r="X12" s="82">
        <v>88.2</v>
      </c>
      <c r="Y12" s="83">
        <v>88.5</v>
      </c>
      <c r="Z12" s="443">
        <v>94.7</v>
      </c>
      <c r="AA12" s="63">
        <v>79</v>
      </c>
      <c r="AB12" s="63">
        <v>88</v>
      </c>
      <c r="AC12" s="19" t="s">
        <v>48</v>
      </c>
      <c r="AD12" s="84">
        <v>144</v>
      </c>
      <c r="AE12" s="85">
        <v>85</v>
      </c>
      <c r="AF12" s="85">
        <v>28</v>
      </c>
      <c r="AG12" s="85">
        <v>74</v>
      </c>
      <c r="AH12" s="85">
        <v>125</v>
      </c>
      <c r="AI12" s="85">
        <v>130</v>
      </c>
      <c r="AJ12" s="85">
        <v>92</v>
      </c>
      <c r="AK12" s="85">
        <v>57</v>
      </c>
      <c r="AL12" s="85">
        <v>242</v>
      </c>
      <c r="AM12" s="85">
        <v>260</v>
      </c>
      <c r="AN12" s="85">
        <v>381</v>
      </c>
      <c r="AO12" s="85">
        <v>331</v>
      </c>
      <c r="AP12" s="85">
        <v>316</v>
      </c>
      <c r="AQ12" s="85">
        <v>197</v>
      </c>
      <c r="AR12" s="85">
        <v>369</v>
      </c>
      <c r="AS12" s="85">
        <v>202</v>
      </c>
      <c r="AT12" s="85">
        <v>86</v>
      </c>
      <c r="AU12" s="85">
        <v>70</v>
      </c>
      <c r="AV12" s="85">
        <v>108</v>
      </c>
      <c r="AW12" s="85">
        <v>142</v>
      </c>
      <c r="AX12" s="86">
        <v>130</v>
      </c>
      <c r="AY12" s="86">
        <v>168</v>
      </c>
      <c r="AZ12" s="86">
        <v>164</v>
      </c>
      <c r="BA12" s="86">
        <v>308</v>
      </c>
      <c r="BB12" s="86">
        <v>254</v>
      </c>
      <c r="BC12" s="86">
        <v>244</v>
      </c>
      <c r="BD12" s="86">
        <v>119</v>
      </c>
      <c r="BE12" s="86">
        <v>57</v>
      </c>
      <c r="BF12" s="86">
        <v>97</v>
      </c>
      <c r="BG12" s="86">
        <v>88</v>
      </c>
      <c r="BH12" s="86">
        <v>86</v>
      </c>
      <c r="BI12" s="86">
        <v>187</v>
      </c>
      <c r="BJ12" s="86">
        <v>166</v>
      </c>
      <c r="BK12" s="86">
        <v>197</v>
      </c>
      <c r="BL12" s="86">
        <v>149</v>
      </c>
      <c r="BM12" s="86">
        <v>290</v>
      </c>
      <c r="BN12" s="86">
        <v>437</v>
      </c>
      <c r="BO12" s="86">
        <v>254</v>
      </c>
      <c r="BP12" s="86">
        <v>83</v>
      </c>
      <c r="BQ12" s="86">
        <v>142</v>
      </c>
      <c r="BR12" s="85">
        <v>138</v>
      </c>
      <c r="BS12" s="85">
        <v>183</v>
      </c>
      <c r="BT12" s="85">
        <v>209</v>
      </c>
      <c r="BU12" s="85">
        <v>302</v>
      </c>
      <c r="BV12" s="67">
        <v>512</v>
      </c>
      <c r="BW12" s="67">
        <v>981</v>
      </c>
      <c r="BX12" s="67">
        <v>363</v>
      </c>
      <c r="BY12" s="67">
        <v>694</v>
      </c>
      <c r="BZ12" s="68">
        <v>629.67272727272734</v>
      </c>
      <c r="CA12" s="68">
        <v>641.37272727272739</v>
      </c>
      <c r="CB12" s="68">
        <v>653.07272727272721</v>
      </c>
      <c r="CC12" s="68">
        <v>664.77272727272725</v>
      </c>
      <c r="CD12" s="68">
        <v>676.4727272727273</v>
      </c>
      <c r="CE12" s="68">
        <v>688.17272727272723</v>
      </c>
      <c r="CF12" s="68">
        <v>699.87272727272739</v>
      </c>
      <c r="CG12" s="68">
        <v>711.57272727272721</v>
      </c>
      <c r="CH12" s="87">
        <v>109100</v>
      </c>
      <c r="CI12" s="467">
        <v>108833</v>
      </c>
      <c r="CJ12" s="467">
        <v>109691.85599999997</v>
      </c>
      <c r="CK12" s="467">
        <v>110020.56700000001</v>
      </c>
      <c r="CL12" s="468">
        <v>110274.35199999998</v>
      </c>
      <c r="CM12" s="19" t="s">
        <v>48</v>
      </c>
      <c r="CN12" s="70">
        <v>321</v>
      </c>
      <c r="CO12" s="70">
        <v>297</v>
      </c>
      <c r="CP12" s="70">
        <v>317</v>
      </c>
      <c r="CQ12" s="70">
        <v>364</v>
      </c>
      <c r="CR12" s="70">
        <v>318</v>
      </c>
      <c r="CS12" s="70">
        <v>319</v>
      </c>
      <c r="CT12" s="70">
        <v>403</v>
      </c>
      <c r="CU12" s="70">
        <v>381</v>
      </c>
      <c r="CV12" s="70">
        <v>411</v>
      </c>
      <c r="CW12" s="70">
        <v>333</v>
      </c>
      <c r="CX12" s="70">
        <v>311</v>
      </c>
      <c r="CY12" s="70">
        <v>432</v>
      </c>
      <c r="CZ12" s="70">
        <v>375</v>
      </c>
      <c r="DA12" s="70">
        <v>383</v>
      </c>
      <c r="DB12" s="70">
        <v>324</v>
      </c>
      <c r="DC12" s="70">
        <v>310</v>
      </c>
      <c r="DD12" s="70">
        <v>289</v>
      </c>
      <c r="DE12" s="70">
        <v>312</v>
      </c>
      <c r="DF12" s="70">
        <v>362</v>
      </c>
      <c r="DG12" s="70">
        <v>339</v>
      </c>
      <c r="DH12" s="70">
        <v>484</v>
      </c>
      <c r="DI12" s="70">
        <v>363</v>
      </c>
      <c r="DJ12" s="70">
        <v>352</v>
      </c>
      <c r="DK12" s="70">
        <v>357</v>
      </c>
      <c r="DL12" s="46">
        <v>353</v>
      </c>
      <c r="DM12" s="46">
        <v>327</v>
      </c>
      <c r="DN12" s="46">
        <v>339</v>
      </c>
      <c r="DO12" s="46">
        <v>353</v>
      </c>
      <c r="DP12" s="46">
        <v>291</v>
      </c>
      <c r="DQ12" s="46">
        <v>333</v>
      </c>
      <c r="DR12" s="46">
        <v>386</v>
      </c>
      <c r="DS12" s="46">
        <v>374</v>
      </c>
      <c r="DT12" s="46">
        <v>458</v>
      </c>
      <c r="DU12" s="46">
        <v>448</v>
      </c>
      <c r="DV12" s="46">
        <v>478</v>
      </c>
      <c r="DW12" s="46">
        <v>397</v>
      </c>
      <c r="DX12" s="46">
        <v>374</v>
      </c>
      <c r="DY12" s="46">
        <v>393</v>
      </c>
      <c r="DZ12" s="46">
        <v>375</v>
      </c>
      <c r="EA12" s="46">
        <v>379</v>
      </c>
      <c r="EB12" s="46">
        <v>395</v>
      </c>
      <c r="EC12" s="46">
        <v>392</v>
      </c>
      <c r="ED12" s="46">
        <v>426</v>
      </c>
      <c r="EE12" s="46">
        <v>533</v>
      </c>
      <c r="EF12" s="46">
        <v>537</v>
      </c>
      <c r="EG12" s="46">
        <v>478</v>
      </c>
      <c r="EH12" s="46">
        <v>458</v>
      </c>
      <c r="EI12" s="46">
        <v>478</v>
      </c>
      <c r="EJ12" s="46">
        <v>419</v>
      </c>
      <c r="EK12" s="46">
        <v>365</v>
      </c>
      <c r="EL12" s="46">
        <v>359</v>
      </c>
      <c r="EM12" s="46">
        <v>370</v>
      </c>
      <c r="EN12" s="46">
        <v>323</v>
      </c>
      <c r="EO12" s="46">
        <v>331</v>
      </c>
      <c r="EP12" s="46">
        <v>398</v>
      </c>
      <c r="EQ12" s="46">
        <v>391</v>
      </c>
      <c r="ER12" s="46">
        <v>501</v>
      </c>
      <c r="ES12" s="46">
        <v>410</v>
      </c>
      <c r="ET12" s="46">
        <v>1414</v>
      </c>
      <c r="EU12" s="46">
        <v>1143</v>
      </c>
      <c r="EV12" s="46">
        <v>1024</v>
      </c>
      <c r="EW12" s="46">
        <v>1290</v>
      </c>
      <c r="EX12" s="71">
        <v>1305.2110492479005</v>
      </c>
      <c r="EY12" s="71">
        <v>1320.275093051155</v>
      </c>
      <c r="EZ12" s="71">
        <v>1335.3391368544096</v>
      </c>
      <c r="FA12" s="71">
        <v>1350.4031806576641</v>
      </c>
      <c r="FB12" s="71">
        <v>1365.4672244609185</v>
      </c>
      <c r="FC12" s="71">
        <v>1380.5312682641729</v>
      </c>
      <c r="FD12" s="71">
        <v>1395.5953120674274</v>
      </c>
      <c r="FE12" s="71">
        <v>1410.659355870682</v>
      </c>
      <c r="FF12" s="72">
        <v>147657</v>
      </c>
      <c r="FG12" s="72">
        <v>147713</v>
      </c>
      <c r="FH12" s="476">
        <v>147369</v>
      </c>
      <c r="FI12" s="476">
        <v>148112.606</v>
      </c>
      <c r="FJ12" s="476">
        <v>148328.427</v>
      </c>
      <c r="FK12" s="476">
        <v>148599.579</v>
      </c>
    </row>
    <row r="13" spans="1:167">
      <c r="A13" s="73" t="s">
        <v>911</v>
      </c>
      <c r="B13" s="19" t="s">
        <v>912</v>
      </c>
      <c r="C13" s="74" t="s">
        <v>658</v>
      </c>
      <c r="D13" s="75" t="s">
        <v>52</v>
      </c>
      <c r="E13" s="76">
        <v>260</v>
      </c>
      <c r="F13" s="77">
        <v>260</v>
      </c>
      <c r="G13" s="410">
        <v>275</v>
      </c>
      <c r="H13" s="78">
        <v>27355</v>
      </c>
      <c r="I13" s="77">
        <v>27925</v>
      </c>
      <c r="J13" s="410">
        <v>28179</v>
      </c>
      <c r="K13" s="410">
        <v>28654.499999999996</v>
      </c>
      <c r="L13" s="418">
        <v>28844.146999999994</v>
      </c>
      <c r="M13" s="79">
        <v>946.8</v>
      </c>
      <c r="N13" s="80">
        <v>934.6</v>
      </c>
      <c r="O13" s="421">
        <v>988.3</v>
      </c>
      <c r="P13" s="71">
        <v>263</v>
      </c>
      <c r="Q13" s="75" t="s">
        <v>52</v>
      </c>
      <c r="R13" s="81">
        <v>60</v>
      </c>
      <c r="S13" s="77">
        <v>55</v>
      </c>
      <c r="T13" s="452">
        <v>75</v>
      </c>
      <c r="U13" s="77">
        <v>65</v>
      </c>
      <c r="V13" s="77">
        <v>65</v>
      </c>
      <c r="W13" s="452">
        <v>90</v>
      </c>
      <c r="X13" s="82">
        <v>89.4</v>
      </c>
      <c r="Y13" s="83">
        <v>86.2</v>
      </c>
      <c r="Z13" s="443">
        <v>83.7</v>
      </c>
      <c r="AA13" s="63">
        <v>63</v>
      </c>
      <c r="AB13" s="63">
        <v>70</v>
      </c>
      <c r="AC13" s="19" t="s">
        <v>52</v>
      </c>
      <c r="AD13" s="84">
        <v>6</v>
      </c>
      <c r="AE13" s="85">
        <v>38</v>
      </c>
      <c r="AF13" s="85">
        <v>45</v>
      </c>
      <c r="AG13" s="85">
        <v>135</v>
      </c>
      <c r="AH13" s="85">
        <v>152</v>
      </c>
      <c r="AI13" s="85">
        <v>310</v>
      </c>
      <c r="AJ13" s="85">
        <v>299</v>
      </c>
      <c r="AK13" s="85">
        <v>129</v>
      </c>
      <c r="AL13" s="85">
        <v>464</v>
      </c>
      <c r="AM13" s="85">
        <v>194</v>
      </c>
      <c r="AN13" s="85">
        <v>201</v>
      </c>
      <c r="AO13" s="85">
        <v>225</v>
      </c>
      <c r="AP13" s="85">
        <v>229</v>
      </c>
      <c r="AQ13" s="85">
        <v>250</v>
      </c>
      <c r="AR13" s="85">
        <v>183</v>
      </c>
      <c r="AS13" s="85">
        <v>63</v>
      </c>
      <c r="AT13" s="85">
        <v>248</v>
      </c>
      <c r="AU13" s="85">
        <v>201</v>
      </c>
      <c r="AV13" s="85">
        <v>199</v>
      </c>
      <c r="AW13" s="85">
        <v>279</v>
      </c>
      <c r="AX13" s="86">
        <v>291</v>
      </c>
      <c r="AY13" s="86">
        <v>231</v>
      </c>
      <c r="AZ13" s="86">
        <v>219</v>
      </c>
      <c r="BA13" s="86">
        <v>349</v>
      </c>
      <c r="BB13" s="86">
        <v>618</v>
      </c>
      <c r="BC13" s="86">
        <v>479</v>
      </c>
      <c r="BD13" s="86">
        <v>295</v>
      </c>
      <c r="BE13" s="86">
        <v>285</v>
      </c>
      <c r="BF13" s="86">
        <v>162</v>
      </c>
      <c r="BG13" s="86">
        <v>190</v>
      </c>
      <c r="BH13" s="86">
        <v>70</v>
      </c>
      <c r="BI13" s="86">
        <v>142</v>
      </c>
      <c r="BJ13" s="86">
        <v>291</v>
      </c>
      <c r="BK13" s="86">
        <v>213</v>
      </c>
      <c r="BL13" s="86">
        <v>222</v>
      </c>
      <c r="BM13" s="86">
        <v>229</v>
      </c>
      <c r="BN13" s="86">
        <v>312</v>
      </c>
      <c r="BO13" s="86">
        <v>181</v>
      </c>
      <c r="BP13" s="86">
        <v>362</v>
      </c>
      <c r="BQ13" s="86">
        <v>274</v>
      </c>
      <c r="BR13" s="85">
        <v>161</v>
      </c>
      <c r="BS13" s="85">
        <v>286</v>
      </c>
      <c r="BT13" s="85">
        <v>275</v>
      </c>
      <c r="BU13" s="85">
        <v>434</v>
      </c>
      <c r="BV13" s="67">
        <v>726</v>
      </c>
      <c r="BW13" s="67">
        <v>722</v>
      </c>
      <c r="BX13" s="67">
        <v>797</v>
      </c>
      <c r="BY13" s="67">
        <v>995</v>
      </c>
      <c r="BZ13" s="68">
        <v>928.54608879492605</v>
      </c>
      <c r="CA13" s="68">
        <v>956.37885835095153</v>
      </c>
      <c r="CB13" s="68">
        <v>984.2116279069769</v>
      </c>
      <c r="CC13" s="68">
        <v>1012.0443974630022</v>
      </c>
      <c r="CD13" s="68">
        <v>1039.8771670190276</v>
      </c>
      <c r="CE13" s="68">
        <v>1067.709936575053</v>
      </c>
      <c r="CF13" s="68">
        <v>1095.5427061310784</v>
      </c>
      <c r="CG13" s="68">
        <v>1123.3754756871037</v>
      </c>
      <c r="CH13" s="87">
        <v>112900</v>
      </c>
      <c r="CI13" s="467">
        <v>112370</v>
      </c>
      <c r="CJ13" s="467">
        <v>112505.65699999998</v>
      </c>
      <c r="CK13" s="467">
        <v>112474.98199999997</v>
      </c>
      <c r="CL13" s="468">
        <v>112348.86300000001</v>
      </c>
      <c r="CM13" s="19" t="s">
        <v>52</v>
      </c>
      <c r="CN13" s="70">
        <v>269</v>
      </c>
      <c r="CO13" s="70">
        <v>271</v>
      </c>
      <c r="CP13" s="70">
        <v>255</v>
      </c>
      <c r="CQ13" s="70">
        <v>252</v>
      </c>
      <c r="CR13" s="70">
        <v>219</v>
      </c>
      <c r="CS13" s="70">
        <v>259</v>
      </c>
      <c r="CT13" s="70">
        <v>261</v>
      </c>
      <c r="CU13" s="70">
        <v>287</v>
      </c>
      <c r="CV13" s="70">
        <v>318</v>
      </c>
      <c r="CW13" s="70">
        <v>295</v>
      </c>
      <c r="CX13" s="70">
        <v>249</v>
      </c>
      <c r="CY13" s="70">
        <v>287</v>
      </c>
      <c r="CZ13" s="70">
        <v>302</v>
      </c>
      <c r="DA13" s="70">
        <v>270</v>
      </c>
      <c r="DB13" s="70">
        <v>267</v>
      </c>
      <c r="DC13" s="70">
        <v>273</v>
      </c>
      <c r="DD13" s="70">
        <v>247</v>
      </c>
      <c r="DE13" s="70">
        <v>270</v>
      </c>
      <c r="DF13" s="70">
        <v>281</v>
      </c>
      <c r="DG13" s="70">
        <v>291</v>
      </c>
      <c r="DH13" s="70">
        <v>428</v>
      </c>
      <c r="DI13" s="70">
        <v>314</v>
      </c>
      <c r="DJ13" s="70">
        <v>305</v>
      </c>
      <c r="DK13" s="70">
        <v>280</v>
      </c>
      <c r="DL13" s="46">
        <v>265</v>
      </c>
      <c r="DM13" s="46">
        <v>286</v>
      </c>
      <c r="DN13" s="46">
        <v>240</v>
      </c>
      <c r="DO13" s="46">
        <v>212</v>
      </c>
      <c r="DP13" s="46">
        <v>237</v>
      </c>
      <c r="DQ13" s="46">
        <v>279</v>
      </c>
      <c r="DR13" s="46">
        <v>310</v>
      </c>
      <c r="DS13" s="46">
        <v>308</v>
      </c>
      <c r="DT13" s="46">
        <v>338</v>
      </c>
      <c r="DU13" s="46">
        <v>282</v>
      </c>
      <c r="DV13" s="46">
        <v>342</v>
      </c>
      <c r="DW13" s="46">
        <v>295</v>
      </c>
      <c r="DX13" s="46">
        <v>277</v>
      </c>
      <c r="DY13" s="46">
        <v>302</v>
      </c>
      <c r="DZ13" s="46">
        <v>283</v>
      </c>
      <c r="EA13" s="46">
        <v>342</v>
      </c>
      <c r="EB13" s="46">
        <v>276</v>
      </c>
      <c r="EC13" s="46">
        <v>297</v>
      </c>
      <c r="ED13" s="46">
        <v>344</v>
      </c>
      <c r="EE13" s="46">
        <v>356</v>
      </c>
      <c r="EF13" s="46">
        <v>431</v>
      </c>
      <c r="EG13" s="46">
        <v>399</v>
      </c>
      <c r="EH13" s="46">
        <v>355</v>
      </c>
      <c r="EI13" s="46">
        <v>405</v>
      </c>
      <c r="EJ13" s="46">
        <v>375</v>
      </c>
      <c r="EK13" s="46">
        <v>336</v>
      </c>
      <c r="EL13" s="46">
        <v>262</v>
      </c>
      <c r="EM13" s="46">
        <v>327</v>
      </c>
      <c r="EN13" s="46">
        <v>313</v>
      </c>
      <c r="EO13" s="46">
        <v>306</v>
      </c>
      <c r="EP13" s="46">
        <v>370</v>
      </c>
      <c r="EQ13" s="46">
        <v>399</v>
      </c>
      <c r="ER13" s="46">
        <v>427</v>
      </c>
      <c r="ES13" s="46">
        <v>338</v>
      </c>
      <c r="ET13" s="46">
        <v>1159</v>
      </c>
      <c r="EU13" s="46">
        <v>973</v>
      </c>
      <c r="EV13" s="46">
        <v>946</v>
      </c>
      <c r="EW13" s="46">
        <v>1196</v>
      </c>
      <c r="EX13" s="71">
        <v>1096.9764065335753</v>
      </c>
      <c r="EY13" s="71">
        <v>1113.8983666061706</v>
      </c>
      <c r="EZ13" s="71">
        <v>1130.8203266787659</v>
      </c>
      <c r="FA13" s="71">
        <v>1147.7422867513612</v>
      </c>
      <c r="FB13" s="71">
        <v>1164.6642468239565</v>
      </c>
      <c r="FC13" s="71">
        <v>1181.5862068965516</v>
      </c>
      <c r="FD13" s="71">
        <v>1198.5081669691469</v>
      </c>
      <c r="FE13" s="71">
        <v>1215.4301270417423</v>
      </c>
      <c r="FF13" s="72">
        <v>142080</v>
      </c>
      <c r="FG13" s="72">
        <v>141976</v>
      </c>
      <c r="FH13" s="476">
        <v>141400</v>
      </c>
      <c r="FI13" s="476">
        <v>141581.712</v>
      </c>
      <c r="FJ13" s="476">
        <v>141482.99900000001</v>
      </c>
      <c r="FK13" s="476">
        <v>141435.69399999999</v>
      </c>
    </row>
    <row r="14" spans="1:167">
      <c r="A14" s="73" t="s">
        <v>913</v>
      </c>
      <c r="B14" s="19" t="s">
        <v>914</v>
      </c>
      <c r="C14" s="74" t="s">
        <v>659</v>
      </c>
      <c r="D14" s="75" t="s">
        <v>56</v>
      </c>
      <c r="E14" s="76">
        <v>345</v>
      </c>
      <c r="F14" s="77">
        <v>350</v>
      </c>
      <c r="G14" s="410">
        <v>380</v>
      </c>
      <c r="H14" s="78">
        <v>42845</v>
      </c>
      <c r="I14" s="77">
        <v>44385</v>
      </c>
      <c r="J14" s="410">
        <v>45661</v>
      </c>
      <c r="K14" s="410">
        <v>46915.532000000007</v>
      </c>
      <c r="L14" s="418">
        <v>47965.933000000005</v>
      </c>
      <c r="M14" s="79">
        <v>809.9</v>
      </c>
      <c r="N14" s="80">
        <v>793.1</v>
      </c>
      <c r="O14" s="421">
        <v>858.4</v>
      </c>
      <c r="P14" s="71">
        <v>354</v>
      </c>
      <c r="Q14" s="75" t="s">
        <v>56</v>
      </c>
      <c r="R14" s="81">
        <v>300</v>
      </c>
      <c r="S14" s="77">
        <v>370</v>
      </c>
      <c r="T14" s="452">
        <v>330</v>
      </c>
      <c r="U14" s="77">
        <v>375</v>
      </c>
      <c r="V14" s="77">
        <v>435</v>
      </c>
      <c r="W14" s="452">
        <v>420</v>
      </c>
      <c r="X14" s="82">
        <v>79.7</v>
      </c>
      <c r="Y14" s="83">
        <v>85.9</v>
      </c>
      <c r="Z14" s="443">
        <v>78.5</v>
      </c>
      <c r="AA14" s="63">
        <v>377</v>
      </c>
      <c r="AB14" s="63">
        <v>435</v>
      </c>
      <c r="AC14" s="19" t="s">
        <v>56</v>
      </c>
      <c r="AD14" s="84">
        <v>660</v>
      </c>
      <c r="AE14" s="85">
        <v>351</v>
      </c>
      <c r="AF14" s="85">
        <v>224</v>
      </c>
      <c r="AG14" s="85">
        <v>279</v>
      </c>
      <c r="AH14" s="85">
        <v>336</v>
      </c>
      <c r="AI14" s="85">
        <v>581</v>
      </c>
      <c r="AJ14" s="85">
        <v>539</v>
      </c>
      <c r="AK14" s="85">
        <v>714</v>
      </c>
      <c r="AL14" s="85">
        <v>602</v>
      </c>
      <c r="AM14" s="85">
        <v>624</v>
      </c>
      <c r="AN14" s="85">
        <v>558</v>
      </c>
      <c r="AO14" s="85">
        <v>807</v>
      </c>
      <c r="AP14" s="85">
        <v>618</v>
      </c>
      <c r="AQ14" s="85">
        <v>590</v>
      </c>
      <c r="AR14" s="85">
        <v>664</v>
      </c>
      <c r="AS14" s="85">
        <v>789</v>
      </c>
      <c r="AT14" s="85">
        <v>529</v>
      </c>
      <c r="AU14" s="85">
        <v>276</v>
      </c>
      <c r="AV14" s="85">
        <v>300</v>
      </c>
      <c r="AW14" s="85">
        <v>347</v>
      </c>
      <c r="AX14" s="86">
        <v>271</v>
      </c>
      <c r="AY14" s="86">
        <v>304</v>
      </c>
      <c r="AZ14" s="86">
        <v>433</v>
      </c>
      <c r="BA14" s="86">
        <v>248</v>
      </c>
      <c r="BB14" s="86">
        <v>342</v>
      </c>
      <c r="BC14" s="86">
        <v>313</v>
      </c>
      <c r="BD14" s="86">
        <v>385</v>
      </c>
      <c r="BE14" s="86">
        <v>451</v>
      </c>
      <c r="BF14" s="86">
        <v>394</v>
      </c>
      <c r="BG14" s="86">
        <v>351</v>
      </c>
      <c r="BH14" s="86">
        <v>304</v>
      </c>
      <c r="BI14" s="86">
        <v>241</v>
      </c>
      <c r="BJ14" s="86">
        <v>300</v>
      </c>
      <c r="BK14" s="86">
        <v>309</v>
      </c>
      <c r="BL14" s="86">
        <v>258</v>
      </c>
      <c r="BM14" s="86">
        <v>315</v>
      </c>
      <c r="BN14" s="86">
        <v>346</v>
      </c>
      <c r="BO14" s="86">
        <v>270</v>
      </c>
      <c r="BP14" s="86">
        <v>214</v>
      </c>
      <c r="BQ14" s="86">
        <v>231</v>
      </c>
      <c r="BR14" s="85">
        <v>221</v>
      </c>
      <c r="BS14" s="85">
        <v>332</v>
      </c>
      <c r="BT14" s="85">
        <v>392</v>
      </c>
      <c r="BU14" s="85">
        <v>691</v>
      </c>
      <c r="BV14" s="67">
        <v>867</v>
      </c>
      <c r="BW14" s="67">
        <v>931</v>
      </c>
      <c r="BX14" s="67">
        <v>666</v>
      </c>
      <c r="BY14" s="67">
        <v>1415</v>
      </c>
      <c r="BZ14" s="68">
        <v>827.7027484143764</v>
      </c>
      <c r="CA14" s="68">
        <v>774.04778012684983</v>
      </c>
      <c r="CB14" s="68">
        <v>720.39281183932349</v>
      </c>
      <c r="CC14" s="68">
        <v>666.73784355179703</v>
      </c>
      <c r="CD14" s="68">
        <v>613.08287526427068</v>
      </c>
      <c r="CE14" s="68">
        <v>559.42790697674423</v>
      </c>
      <c r="CF14" s="68">
        <v>505.77293868921782</v>
      </c>
      <c r="CG14" s="68">
        <v>452.11797040169148</v>
      </c>
      <c r="CH14" s="87">
        <v>213700</v>
      </c>
      <c r="CI14" s="467">
        <v>214210</v>
      </c>
      <c r="CJ14" s="467">
        <v>216239.21999999991</v>
      </c>
      <c r="CK14" s="467">
        <v>217656.17600000001</v>
      </c>
      <c r="CL14" s="468">
        <v>218949.63599999997</v>
      </c>
      <c r="CM14" s="19" t="s">
        <v>56</v>
      </c>
      <c r="CN14" s="70">
        <v>454</v>
      </c>
      <c r="CO14" s="70">
        <v>480</v>
      </c>
      <c r="CP14" s="70">
        <v>413</v>
      </c>
      <c r="CQ14" s="70">
        <v>425</v>
      </c>
      <c r="CR14" s="70">
        <v>379</v>
      </c>
      <c r="CS14" s="70">
        <v>439</v>
      </c>
      <c r="CT14" s="70">
        <v>527</v>
      </c>
      <c r="CU14" s="70">
        <v>574</v>
      </c>
      <c r="CV14" s="70">
        <v>646</v>
      </c>
      <c r="CW14" s="70">
        <v>534</v>
      </c>
      <c r="CX14" s="70">
        <v>507</v>
      </c>
      <c r="CY14" s="70">
        <v>547</v>
      </c>
      <c r="CZ14" s="70">
        <v>469</v>
      </c>
      <c r="DA14" s="70">
        <v>495</v>
      </c>
      <c r="DB14" s="70">
        <v>387</v>
      </c>
      <c r="DC14" s="70">
        <v>384</v>
      </c>
      <c r="DD14" s="70">
        <v>394</v>
      </c>
      <c r="DE14" s="70">
        <v>418</v>
      </c>
      <c r="DF14" s="70">
        <v>424</v>
      </c>
      <c r="DG14" s="70">
        <v>496</v>
      </c>
      <c r="DH14" s="70">
        <v>638</v>
      </c>
      <c r="DI14" s="70">
        <v>527</v>
      </c>
      <c r="DJ14" s="70">
        <v>470</v>
      </c>
      <c r="DK14" s="70">
        <v>498</v>
      </c>
      <c r="DL14" s="46">
        <v>483</v>
      </c>
      <c r="DM14" s="46">
        <v>462</v>
      </c>
      <c r="DN14" s="46">
        <v>408</v>
      </c>
      <c r="DO14" s="46">
        <v>443</v>
      </c>
      <c r="DP14" s="46">
        <v>381</v>
      </c>
      <c r="DQ14" s="46">
        <v>421</v>
      </c>
      <c r="DR14" s="46">
        <v>445</v>
      </c>
      <c r="DS14" s="46">
        <v>470</v>
      </c>
      <c r="DT14" s="46">
        <v>507</v>
      </c>
      <c r="DU14" s="46">
        <v>525</v>
      </c>
      <c r="DV14" s="46">
        <v>468</v>
      </c>
      <c r="DW14" s="46">
        <v>482</v>
      </c>
      <c r="DX14" s="46">
        <v>502</v>
      </c>
      <c r="DY14" s="46">
        <v>480</v>
      </c>
      <c r="DZ14" s="46">
        <v>454</v>
      </c>
      <c r="EA14" s="46">
        <v>498</v>
      </c>
      <c r="EB14" s="46">
        <v>479</v>
      </c>
      <c r="EC14" s="46">
        <v>464</v>
      </c>
      <c r="ED14" s="46">
        <v>602</v>
      </c>
      <c r="EE14" s="46">
        <v>613</v>
      </c>
      <c r="EF14" s="46">
        <v>615</v>
      </c>
      <c r="EG14" s="46">
        <v>543</v>
      </c>
      <c r="EH14" s="46">
        <v>502</v>
      </c>
      <c r="EI14" s="46">
        <v>574</v>
      </c>
      <c r="EJ14" s="46">
        <v>590</v>
      </c>
      <c r="EK14" s="46">
        <v>547</v>
      </c>
      <c r="EL14" s="46">
        <v>480</v>
      </c>
      <c r="EM14" s="46">
        <v>545</v>
      </c>
      <c r="EN14" s="46">
        <v>465</v>
      </c>
      <c r="EO14" s="46">
        <v>476</v>
      </c>
      <c r="EP14" s="46">
        <v>553</v>
      </c>
      <c r="EQ14" s="46">
        <v>545</v>
      </c>
      <c r="ER14" s="46">
        <v>668</v>
      </c>
      <c r="ES14" s="46">
        <v>590</v>
      </c>
      <c r="ET14" s="46">
        <v>1619</v>
      </c>
      <c r="EU14" s="46">
        <v>1617</v>
      </c>
      <c r="EV14" s="46">
        <v>1486</v>
      </c>
      <c r="EW14" s="46">
        <v>1766</v>
      </c>
      <c r="EX14" s="71">
        <v>1651.0081823495029</v>
      </c>
      <c r="EY14" s="71">
        <v>1665.8784336645238</v>
      </c>
      <c r="EZ14" s="71">
        <v>1680.7486849795441</v>
      </c>
      <c r="FA14" s="71">
        <v>1695.6189362945645</v>
      </c>
      <c r="FB14" s="71">
        <v>1710.4891876095849</v>
      </c>
      <c r="FC14" s="71">
        <v>1725.3594389246055</v>
      </c>
      <c r="FD14" s="71">
        <v>1740.2296902396261</v>
      </c>
      <c r="FE14" s="71">
        <v>1755.0999415546462</v>
      </c>
      <c r="FF14" s="72">
        <v>277296</v>
      </c>
      <c r="FG14" s="72">
        <v>278984</v>
      </c>
      <c r="FH14" s="476">
        <v>280057</v>
      </c>
      <c r="FI14" s="476">
        <v>282162.58299999998</v>
      </c>
      <c r="FJ14" s="476">
        <v>283846.23599999998</v>
      </c>
      <c r="FK14" s="476">
        <v>285567.25099999999</v>
      </c>
    </row>
    <row r="15" spans="1:167">
      <c r="A15" s="73" t="s">
        <v>915</v>
      </c>
      <c r="B15" s="19" t="s">
        <v>916</v>
      </c>
      <c r="C15" s="74" t="s">
        <v>917</v>
      </c>
      <c r="D15" s="75" t="s">
        <v>60</v>
      </c>
      <c r="E15" s="88">
        <v>535</v>
      </c>
      <c r="F15" s="89">
        <v>545</v>
      </c>
      <c r="G15" s="411">
        <v>565</v>
      </c>
      <c r="H15" s="89">
        <v>62965</v>
      </c>
      <c r="I15" s="89">
        <v>64805</v>
      </c>
      <c r="J15" s="411">
        <v>66046</v>
      </c>
      <c r="K15" s="411">
        <v>67343.785999999993</v>
      </c>
      <c r="L15" s="418">
        <v>68500.861000000004</v>
      </c>
      <c r="M15" s="90">
        <v>848.13555943778294</v>
      </c>
      <c r="N15" s="91">
        <v>845.61496798086569</v>
      </c>
      <c r="O15" s="422">
        <v>873.39861121827016</v>
      </c>
      <c r="P15" s="71">
        <v>585</v>
      </c>
      <c r="Q15" s="75" t="s">
        <v>60</v>
      </c>
      <c r="R15" s="92">
        <v>700</v>
      </c>
      <c r="S15" s="89">
        <v>385</v>
      </c>
      <c r="T15" s="453">
        <v>410</v>
      </c>
      <c r="U15" s="89">
        <v>885</v>
      </c>
      <c r="V15" s="89">
        <v>515</v>
      </c>
      <c r="W15" s="453">
        <v>505</v>
      </c>
      <c r="X15" s="93">
        <v>79.905263157894737</v>
      </c>
      <c r="Y15" s="91">
        <v>75.154545454545456</v>
      </c>
      <c r="Z15" s="444">
        <v>81.023762376237627</v>
      </c>
      <c r="AA15" s="63">
        <v>1819.5</v>
      </c>
      <c r="AB15" s="63">
        <v>2146.5</v>
      </c>
      <c r="AC15" s="19" t="s">
        <v>60</v>
      </c>
      <c r="AD15" s="84">
        <v>1125</v>
      </c>
      <c r="AE15" s="85">
        <v>1175</v>
      </c>
      <c r="AF15" s="85">
        <v>1440</v>
      </c>
      <c r="AG15" s="85">
        <v>1147</v>
      </c>
      <c r="AH15" s="85">
        <v>1457</v>
      </c>
      <c r="AI15" s="85">
        <v>1263</v>
      </c>
      <c r="AJ15" s="85">
        <v>1313</v>
      </c>
      <c r="AK15" s="85">
        <v>1115</v>
      </c>
      <c r="AL15" s="85">
        <v>1151</v>
      </c>
      <c r="AM15" s="85">
        <v>1347</v>
      </c>
      <c r="AN15" s="85">
        <v>1191</v>
      </c>
      <c r="AO15" s="85">
        <v>1184</v>
      </c>
      <c r="AP15" s="85">
        <v>1264</v>
      </c>
      <c r="AQ15" s="85">
        <v>997</v>
      </c>
      <c r="AR15" s="85">
        <v>1392</v>
      </c>
      <c r="AS15" s="85">
        <v>893</v>
      </c>
      <c r="AT15" s="85">
        <v>940</v>
      </c>
      <c r="AU15" s="85">
        <v>1003</v>
      </c>
      <c r="AV15" s="85">
        <v>615</v>
      </c>
      <c r="AW15" s="85">
        <v>957</v>
      </c>
      <c r="AX15" s="70">
        <v>848</v>
      </c>
      <c r="AY15" s="70">
        <v>706</v>
      </c>
      <c r="AZ15" s="70">
        <v>597</v>
      </c>
      <c r="BA15" s="70">
        <v>865</v>
      </c>
      <c r="BB15" s="70">
        <v>807</v>
      </c>
      <c r="BC15" s="70">
        <v>465</v>
      </c>
      <c r="BD15" s="70">
        <v>564</v>
      </c>
      <c r="BE15" s="70">
        <v>621</v>
      </c>
      <c r="BF15" s="70">
        <v>521</v>
      </c>
      <c r="BG15" s="70">
        <v>593</v>
      </c>
      <c r="BH15" s="70">
        <v>438</v>
      </c>
      <c r="BI15" s="70">
        <v>416</v>
      </c>
      <c r="BJ15" s="70">
        <v>412</v>
      </c>
      <c r="BK15" s="70">
        <v>515</v>
      </c>
      <c r="BL15" s="70">
        <v>453</v>
      </c>
      <c r="BM15" s="70">
        <v>472</v>
      </c>
      <c r="BN15" s="70">
        <v>416</v>
      </c>
      <c r="BO15" s="70">
        <v>390</v>
      </c>
      <c r="BP15" s="70">
        <v>741</v>
      </c>
      <c r="BQ15" s="70">
        <v>486</v>
      </c>
      <c r="BR15" s="85">
        <v>414</v>
      </c>
      <c r="BS15" s="85">
        <v>970</v>
      </c>
      <c r="BT15" s="85">
        <v>768</v>
      </c>
      <c r="BU15" s="85">
        <v>772</v>
      </c>
      <c r="BV15" s="67">
        <v>1380</v>
      </c>
      <c r="BW15" s="67">
        <v>1278</v>
      </c>
      <c r="BX15" s="67">
        <v>1641</v>
      </c>
      <c r="BY15" s="67">
        <v>2510</v>
      </c>
      <c r="BZ15" s="68">
        <v>1039.178858350951</v>
      </c>
      <c r="CA15" s="68">
        <v>847.8835095137415</v>
      </c>
      <c r="CB15" s="68">
        <v>656.58816067653265</v>
      </c>
      <c r="CC15" s="68">
        <v>465.29281183932312</v>
      </c>
      <c r="CD15" s="68">
        <v>273.99746300211359</v>
      </c>
      <c r="CE15" s="68">
        <v>82.702114164904742</v>
      </c>
      <c r="CF15" s="68">
        <v>0</v>
      </c>
      <c r="CG15" s="68">
        <v>0</v>
      </c>
      <c r="CH15" s="89">
        <v>273200</v>
      </c>
      <c r="CI15" s="453">
        <v>274775</v>
      </c>
      <c r="CJ15" s="453">
        <v>277918.66599999997</v>
      </c>
      <c r="CK15" s="453">
        <v>280198.58900000004</v>
      </c>
      <c r="CL15" s="469">
        <v>282548.18400000001</v>
      </c>
      <c r="CM15" s="19" t="s">
        <v>60</v>
      </c>
      <c r="CN15" s="70">
        <v>597</v>
      </c>
      <c r="CO15" s="70">
        <v>578</v>
      </c>
      <c r="CP15" s="70">
        <v>497</v>
      </c>
      <c r="CQ15" s="70">
        <v>515</v>
      </c>
      <c r="CR15" s="70">
        <v>521</v>
      </c>
      <c r="CS15" s="70">
        <v>522</v>
      </c>
      <c r="CT15" s="70">
        <v>633</v>
      </c>
      <c r="CU15" s="70">
        <v>641</v>
      </c>
      <c r="CV15" s="70">
        <v>814</v>
      </c>
      <c r="CW15" s="70">
        <v>661</v>
      </c>
      <c r="CX15" s="70">
        <v>639</v>
      </c>
      <c r="CY15" s="70">
        <v>624</v>
      </c>
      <c r="CZ15" s="70">
        <v>585</v>
      </c>
      <c r="DA15" s="70">
        <v>619</v>
      </c>
      <c r="DB15" s="70">
        <v>516</v>
      </c>
      <c r="DC15" s="70">
        <v>562</v>
      </c>
      <c r="DD15" s="70">
        <v>519</v>
      </c>
      <c r="DE15" s="70">
        <v>531</v>
      </c>
      <c r="DF15" s="70">
        <v>647</v>
      </c>
      <c r="DG15" s="70">
        <v>672</v>
      </c>
      <c r="DH15" s="70">
        <v>819</v>
      </c>
      <c r="DI15" s="70">
        <v>692</v>
      </c>
      <c r="DJ15" s="70">
        <v>623</v>
      </c>
      <c r="DK15" s="70">
        <v>697</v>
      </c>
      <c r="DL15" s="46">
        <v>611</v>
      </c>
      <c r="DM15" s="46">
        <v>589</v>
      </c>
      <c r="DN15" s="46">
        <v>548</v>
      </c>
      <c r="DO15" s="46">
        <v>617</v>
      </c>
      <c r="DP15" s="46">
        <v>516</v>
      </c>
      <c r="DQ15" s="46">
        <v>581</v>
      </c>
      <c r="DR15" s="46">
        <v>590</v>
      </c>
      <c r="DS15" s="46">
        <v>594</v>
      </c>
      <c r="DT15" s="46">
        <v>787</v>
      </c>
      <c r="DU15" s="46">
        <v>629</v>
      </c>
      <c r="DV15" s="46">
        <v>680</v>
      </c>
      <c r="DW15" s="46">
        <v>689</v>
      </c>
      <c r="DX15" s="46">
        <v>620</v>
      </c>
      <c r="DY15" s="46">
        <v>572</v>
      </c>
      <c r="DZ15" s="46">
        <v>547</v>
      </c>
      <c r="EA15" s="46">
        <v>564</v>
      </c>
      <c r="EB15" s="46">
        <v>516</v>
      </c>
      <c r="EC15" s="46">
        <v>521</v>
      </c>
      <c r="ED15" s="46">
        <v>525</v>
      </c>
      <c r="EE15" s="46">
        <v>601</v>
      </c>
      <c r="EF15" s="46">
        <v>711</v>
      </c>
      <c r="EG15" s="46">
        <v>542</v>
      </c>
      <c r="EH15" s="46">
        <v>514</v>
      </c>
      <c r="EI15" s="46">
        <v>588</v>
      </c>
      <c r="EJ15" s="46">
        <v>578</v>
      </c>
      <c r="EK15" s="46">
        <v>533</v>
      </c>
      <c r="EL15" s="46">
        <v>411</v>
      </c>
      <c r="EM15" s="46">
        <v>456</v>
      </c>
      <c r="EN15" s="46">
        <v>516</v>
      </c>
      <c r="EO15" s="46">
        <v>574</v>
      </c>
      <c r="EP15" s="46">
        <v>612</v>
      </c>
      <c r="EQ15" s="46">
        <v>547</v>
      </c>
      <c r="ER15" s="46">
        <v>758</v>
      </c>
      <c r="ES15" s="46">
        <v>594</v>
      </c>
      <c r="ET15" s="46">
        <v>1644</v>
      </c>
      <c r="EU15" s="46">
        <v>1522</v>
      </c>
      <c r="EV15" s="46">
        <v>1546</v>
      </c>
      <c r="EW15" s="46">
        <v>1917</v>
      </c>
      <c r="EX15" s="71">
        <v>1718.1397459165153</v>
      </c>
      <c r="EY15" s="71">
        <v>1711.7531760435572</v>
      </c>
      <c r="EZ15" s="71">
        <v>1705.366606170599</v>
      </c>
      <c r="FA15" s="71">
        <v>1698.9800362976405</v>
      </c>
      <c r="FB15" s="71">
        <v>1692.5934664246824</v>
      </c>
      <c r="FC15" s="71">
        <v>1686.2068965517242</v>
      </c>
      <c r="FD15" s="71">
        <v>1679.8203266787657</v>
      </c>
      <c r="FE15" s="71">
        <v>1673.4337568058077</v>
      </c>
      <c r="FF15" s="94">
        <v>331525</v>
      </c>
      <c r="FG15" s="94">
        <v>335359</v>
      </c>
      <c r="FH15" s="453">
        <v>337742</v>
      </c>
      <c r="FI15" s="453">
        <v>341423.60200000001</v>
      </c>
      <c r="FJ15" s="453">
        <v>344329.13500000001</v>
      </c>
      <c r="FK15" s="453">
        <v>347354.07500000001</v>
      </c>
    </row>
    <row r="16" spans="1:167">
      <c r="A16" s="73" t="s">
        <v>918</v>
      </c>
      <c r="B16" s="19" t="s">
        <v>919</v>
      </c>
      <c r="C16" s="74" t="s">
        <v>661</v>
      </c>
      <c r="D16" s="75" t="s">
        <v>64</v>
      </c>
      <c r="E16" s="76">
        <v>100</v>
      </c>
      <c r="F16" s="77">
        <v>110</v>
      </c>
      <c r="G16" s="410">
        <v>95</v>
      </c>
      <c r="H16" s="78">
        <v>14265</v>
      </c>
      <c r="I16" s="77">
        <v>14920</v>
      </c>
      <c r="J16" s="410">
        <v>15557</v>
      </c>
      <c r="K16" s="410">
        <v>15957.428000000002</v>
      </c>
      <c r="L16" s="418">
        <v>16420.568999999996</v>
      </c>
      <c r="M16" s="79">
        <v>700.9</v>
      </c>
      <c r="N16" s="80">
        <v>750.6</v>
      </c>
      <c r="O16" s="421">
        <v>623.29999999999995</v>
      </c>
      <c r="P16" s="71">
        <v>96</v>
      </c>
      <c r="Q16" s="75" t="s">
        <v>64</v>
      </c>
      <c r="R16" s="81">
        <v>100</v>
      </c>
      <c r="S16" s="77">
        <v>70</v>
      </c>
      <c r="T16" s="452">
        <v>65</v>
      </c>
      <c r="U16" s="77">
        <v>110</v>
      </c>
      <c r="V16" s="77">
        <v>80</v>
      </c>
      <c r="W16" s="452">
        <v>80</v>
      </c>
      <c r="X16" s="82">
        <v>91.1</v>
      </c>
      <c r="Y16" s="83">
        <v>88.8</v>
      </c>
      <c r="Z16" s="443">
        <v>80.8</v>
      </c>
      <c r="AA16" s="63">
        <v>73</v>
      </c>
      <c r="AB16" s="63">
        <v>80</v>
      </c>
      <c r="AC16" s="19" t="s">
        <v>64</v>
      </c>
      <c r="AD16" s="84">
        <v>10</v>
      </c>
      <c r="AE16" s="85">
        <v>161</v>
      </c>
      <c r="AF16" s="85">
        <v>80</v>
      </c>
      <c r="AG16" s="85">
        <v>113</v>
      </c>
      <c r="AH16" s="85">
        <v>40</v>
      </c>
      <c r="AI16" s="85">
        <v>63</v>
      </c>
      <c r="AJ16" s="85">
        <v>86</v>
      </c>
      <c r="AK16" s="85">
        <v>15</v>
      </c>
      <c r="AL16" s="85">
        <v>50</v>
      </c>
      <c r="AM16" s="85">
        <v>58</v>
      </c>
      <c r="AN16" s="85">
        <v>32</v>
      </c>
      <c r="AO16" s="85">
        <v>49</v>
      </c>
      <c r="AP16" s="85">
        <v>35</v>
      </c>
      <c r="AQ16" s="85">
        <v>103</v>
      </c>
      <c r="AR16" s="85">
        <v>70</v>
      </c>
      <c r="AS16" s="85">
        <v>150</v>
      </c>
      <c r="AT16" s="85">
        <v>77</v>
      </c>
      <c r="AU16" s="85">
        <v>61</v>
      </c>
      <c r="AV16" s="85">
        <v>157</v>
      </c>
      <c r="AW16" s="85">
        <v>277</v>
      </c>
      <c r="AX16" s="86">
        <v>232</v>
      </c>
      <c r="AY16" s="86">
        <v>173</v>
      </c>
      <c r="AZ16" s="86">
        <v>96</v>
      </c>
      <c r="BA16" s="86">
        <v>181</v>
      </c>
      <c r="BB16" s="86">
        <v>78</v>
      </c>
      <c r="BC16" s="86">
        <v>70</v>
      </c>
      <c r="BD16" s="86">
        <v>101</v>
      </c>
      <c r="BE16" s="86">
        <v>90</v>
      </c>
      <c r="BF16" s="86">
        <v>117</v>
      </c>
      <c r="BG16" s="86">
        <v>94</v>
      </c>
      <c r="BH16" s="86">
        <v>88</v>
      </c>
      <c r="BI16" s="86">
        <v>147</v>
      </c>
      <c r="BJ16" s="86">
        <v>83</v>
      </c>
      <c r="BK16" s="86">
        <v>128</v>
      </c>
      <c r="BL16" s="86">
        <v>89</v>
      </c>
      <c r="BM16" s="86">
        <v>51</v>
      </c>
      <c r="BN16" s="86">
        <v>222</v>
      </c>
      <c r="BO16" s="86">
        <v>204</v>
      </c>
      <c r="BP16" s="86">
        <v>124</v>
      </c>
      <c r="BQ16" s="86">
        <v>232</v>
      </c>
      <c r="BR16" s="85">
        <v>170</v>
      </c>
      <c r="BS16" s="85">
        <v>34</v>
      </c>
      <c r="BT16" s="85">
        <v>147</v>
      </c>
      <c r="BU16" s="85">
        <v>251</v>
      </c>
      <c r="BV16" s="67">
        <v>300</v>
      </c>
      <c r="BW16" s="67">
        <v>477</v>
      </c>
      <c r="BX16" s="67">
        <v>526</v>
      </c>
      <c r="BY16" s="67">
        <v>432</v>
      </c>
      <c r="BZ16" s="68">
        <v>495.77906976744185</v>
      </c>
      <c r="CA16" s="68">
        <v>516.51585623678648</v>
      </c>
      <c r="CB16" s="68">
        <v>537.25264270613104</v>
      </c>
      <c r="CC16" s="68">
        <v>557.98942917547561</v>
      </c>
      <c r="CD16" s="68">
        <v>578.72621564482029</v>
      </c>
      <c r="CE16" s="68">
        <v>599.46300211416485</v>
      </c>
      <c r="CF16" s="68">
        <v>620.19978858350953</v>
      </c>
      <c r="CG16" s="68">
        <v>640.9365750528541</v>
      </c>
      <c r="CH16" s="87">
        <v>88100</v>
      </c>
      <c r="CI16" s="467">
        <v>89178</v>
      </c>
      <c r="CJ16" s="467">
        <v>90025.729999999967</v>
      </c>
      <c r="CK16" s="467">
        <v>90992.027999999991</v>
      </c>
      <c r="CL16" s="468">
        <v>92068.877999999997</v>
      </c>
      <c r="CM16" s="19" t="s">
        <v>64</v>
      </c>
      <c r="CN16" s="70">
        <v>123</v>
      </c>
      <c r="CO16" s="70">
        <v>119</v>
      </c>
      <c r="CP16" s="70">
        <v>103</v>
      </c>
      <c r="CQ16" s="70">
        <v>107</v>
      </c>
      <c r="CR16" s="70">
        <v>107</v>
      </c>
      <c r="CS16" s="70">
        <v>127</v>
      </c>
      <c r="CT16" s="70">
        <v>123</v>
      </c>
      <c r="CU16" s="70">
        <v>133</v>
      </c>
      <c r="CV16" s="70">
        <v>125</v>
      </c>
      <c r="CW16" s="70">
        <v>132</v>
      </c>
      <c r="CX16" s="70">
        <v>131</v>
      </c>
      <c r="CY16" s="70">
        <v>111</v>
      </c>
      <c r="CZ16" s="70">
        <v>117</v>
      </c>
      <c r="DA16" s="70">
        <v>106</v>
      </c>
      <c r="DB16" s="70">
        <v>101</v>
      </c>
      <c r="DC16" s="70">
        <v>117</v>
      </c>
      <c r="DD16" s="70">
        <v>107</v>
      </c>
      <c r="DE16" s="70">
        <v>94</v>
      </c>
      <c r="DF16" s="70">
        <v>117</v>
      </c>
      <c r="DG16" s="70">
        <v>115</v>
      </c>
      <c r="DH16" s="70">
        <v>174</v>
      </c>
      <c r="DI16" s="70">
        <v>126</v>
      </c>
      <c r="DJ16" s="70">
        <v>109</v>
      </c>
      <c r="DK16" s="70">
        <v>148</v>
      </c>
      <c r="DL16" s="46">
        <v>124</v>
      </c>
      <c r="DM16" s="46">
        <v>121</v>
      </c>
      <c r="DN16" s="46">
        <v>129</v>
      </c>
      <c r="DO16" s="46">
        <v>137</v>
      </c>
      <c r="DP16" s="46">
        <v>124</v>
      </c>
      <c r="DQ16" s="46">
        <v>117</v>
      </c>
      <c r="DR16" s="46">
        <v>141</v>
      </c>
      <c r="DS16" s="46">
        <v>124</v>
      </c>
      <c r="DT16" s="46">
        <v>119</v>
      </c>
      <c r="DU16" s="46">
        <v>139</v>
      </c>
      <c r="DV16" s="46">
        <v>159</v>
      </c>
      <c r="DW16" s="46">
        <v>147</v>
      </c>
      <c r="DX16" s="46">
        <v>128</v>
      </c>
      <c r="DY16" s="46">
        <v>134</v>
      </c>
      <c r="DZ16" s="46">
        <v>147</v>
      </c>
      <c r="EA16" s="46">
        <v>154</v>
      </c>
      <c r="EB16" s="46">
        <v>136</v>
      </c>
      <c r="EC16" s="46">
        <v>152</v>
      </c>
      <c r="ED16" s="46">
        <v>149</v>
      </c>
      <c r="EE16" s="46">
        <v>173</v>
      </c>
      <c r="EF16" s="46">
        <v>161</v>
      </c>
      <c r="EG16" s="46">
        <v>141</v>
      </c>
      <c r="EH16" s="46">
        <v>157</v>
      </c>
      <c r="EI16" s="46">
        <v>164</v>
      </c>
      <c r="EJ16" s="46">
        <v>149</v>
      </c>
      <c r="EK16" s="46">
        <v>168</v>
      </c>
      <c r="EL16" s="46">
        <v>146</v>
      </c>
      <c r="EM16" s="46">
        <v>148</v>
      </c>
      <c r="EN16" s="46">
        <v>122</v>
      </c>
      <c r="EO16" s="46">
        <v>152</v>
      </c>
      <c r="EP16" s="46">
        <v>150</v>
      </c>
      <c r="EQ16" s="46">
        <v>181</v>
      </c>
      <c r="ER16" s="46">
        <v>176</v>
      </c>
      <c r="ES16" s="46">
        <v>145</v>
      </c>
      <c r="ET16" s="46">
        <v>462</v>
      </c>
      <c r="EU16" s="46">
        <v>463</v>
      </c>
      <c r="EV16" s="46">
        <v>422</v>
      </c>
      <c r="EW16" s="46">
        <v>507</v>
      </c>
      <c r="EX16" s="71">
        <v>488.55436955919902</v>
      </c>
      <c r="EY16" s="71">
        <v>496.4771601710296</v>
      </c>
      <c r="EZ16" s="71">
        <v>504.39995078286006</v>
      </c>
      <c r="FA16" s="71">
        <v>512.32274139469064</v>
      </c>
      <c r="FB16" s="71">
        <v>520.24553200652122</v>
      </c>
      <c r="FC16" s="71">
        <v>528.16832261835179</v>
      </c>
      <c r="FD16" s="71">
        <v>536.09111323018237</v>
      </c>
      <c r="FE16" s="71">
        <v>544.01390384201295</v>
      </c>
      <c r="FF16" s="72">
        <v>113696</v>
      </c>
      <c r="FG16" s="72">
        <v>115058</v>
      </c>
      <c r="FH16" s="476">
        <v>116567</v>
      </c>
      <c r="FI16" s="476">
        <v>117329.96400000001</v>
      </c>
      <c r="FJ16" s="476">
        <v>118495.546</v>
      </c>
      <c r="FK16" s="476">
        <v>119678.31299999999</v>
      </c>
    </row>
    <row r="17" spans="1:167">
      <c r="A17" s="73" t="s">
        <v>920</v>
      </c>
      <c r="B17" s="19" t="s">
        <v>921</v>
      </c>
      <c r="C17" s="74" t="s">
        <v>662</v>
      </c>
      <c r="D17" s="75" t="s">
        <v>68</v>
      </c>
      <c r="E17" s="76">
        <v>485</v>
      </c>
      <c r="F17" s="77">
        <v>590</v>
      </c>
      <c r="G17" s="410">
        <v>455</v>
      </c>
      <c r="H17" s="78">
        <v>69785</v>
      </c>
      <c r="I17" s="77">
        <v>71910</v>
      </c>
      <c r="J17" s="410">
        <v>73572</v>
      </c>
      <c r="K17" s="410">
        <v>75027.639999999985</v>
      </c>
      <c r="L17" s="418">
        <v>76531.374999999971</v>
      </c>
      <c r="M17" s="79">
        <v>692.1</v>
      </c>
      <c r="N17" s="80">
        <v>821.8</v>
      </c>
      <c r="O17" s="421">
        <v>629.9</v>
      </c>
      <c r="P17" s="71">
        <v>556</v>
      </c>
      <c r="Q17" s="75" t="s">
        <v>68</v>
      </c>
      <c r="R17" s="81">
        <v>115</v>
      </c>
      <c r="S17" s="77">
        <v>205</v>
      </c>
      <c r="T17" s="452">
        <v>165</v>
      </c>
      <c r="U17" s="77">
        <v>135</v>
      </c>
      <c r="V17" s="77">
        <v>225</v>
      </c>
      <c r="W17" s="452">
        <v>175</v>
      </c>
      <c r="X17" s="82">
        <v>85.7</v>
      </c>
      <c r="Y17" s="83">
        <v>92</v>
      </c>
      <c r="Z17" s="443">
        <v>93.2</v>
      </c>
      <c r="AA17" s="63">
        <v>279</v>
      </c>
      <c r="AB17" s="63">
        <v>300</v>
      </c>
      <c r="AC17" s="19" t="s">
        <v>68</v>
      </c>
      <c r="AD17" s="84">
        <v>187</v>
      </c>
      <c r="AE17" s="85">
        <v>204</v>
      </c>
      <c r="AF17" s="85">
        <v>405</v>
      </c>
      <c r="AG17" s="85">
        <v>352</v>
      </c>
      <c r="AH17" s="85">
        <v>221</v>
      </c>
      <c r="AI17" s="85">
        <v>379</v>
      </c>
      <c r="AJ17" s="85">
        <v>267</v>
      </c>
      <c r="AK17" s="85">
        <v>361</v>
      </c>
      <c r="AL17" s="85">
        <v>423</v>
      </c>
      <c r="AM17" s="85">
        <v>254</v>
      </c>
      <c r="AN17" s="85">
        <v>406</v>
      </c>
      <c r="AO17" s="85">
        <v>385</v>
      </c>
      <c r="AP17" s="85">
        <v>244</v>
      </c>
      <c r="AQ17" s="85">
        <v>217</v>
      </c>
      <c r="AR17" s="85">
        <v>205</v>
      </c>
      <c r="AS17" s="85">
        <v>237</v>
      </c>
      <c r="AT17" s="85">
        <v>228</v>
      </c>
      <c r="AU17" s="85">
        <v>283</v>
      </c>
      <c r="AV17" s="85">
        <v>179</v>
      </c>
      <c r="AW17" s="85">
        <v>322</v>
      </c>
      <c r="AX17" s="86">
        <v>314</v>
      </c>
      <c r="AY17" s="86">
        <v>193</v>
      </c>
      <c r="AZ17" s="86">
        <v>241</v>
      </c>
      <c r="BA17" s="86">
        <v>268</v>
      </c>
      <c r="BB17" s="86">
        <v>468</v>
      </c>
      <c r="BC17" s="86">
        <v>341</v>
      </c>
      <c r="BD17" s="86">
        <v>300</v>
      </c>
      <c r="BE17" s="86">
        <v>293</v>
      </c>
      <c r="BF17" s="86">
        <v>340</v>
      </c>
      <c r="BG17" s="86">
        <v>518</v>
      </c>
      <c r="BH17" s="86">
        <v>552</v>
      </c>
      <c r="BI17" s="86">
        <v>588</v>
      </c>
      <c r="BJ17" s="86">
        <v>406</v>
      </c>
      <c r="BK17" s="86">
        <v>413</v>
      </c>
      <c r="BL17" s="86">
        <v>361</v>
      </c>
      <c r="BM17" s="86">
        <v>424</v>
      </c>
      <c r="BN17" s="86">
        <v>561</v>
      </c>
      <c r="BO17" s="86">
        <v>463</v>
      </c>
      <c r="BP17" s="86">
        <v>500</v>
      </c>
      <c r="BQ17" s="86">
        <v>473</v>
      </c>
      <c r="BR17" s="85">
        <v>516</v>
      </c>
      <c r="BS17" s="85">
        <v>462</v>
      </c>
      <c r="BT17" s="85">
        <v>365</v>
      </c>
      <c r="BU17" s="85">
        <v>596</v>
      </c>
      <c r="BV17" s="67">
        <v>1180</v>
      </c>
      <c r="BW17" s="67">
        <v>1448</v>
      </c>
      <c r="BX17" s="67">
        <v>1489</v>
      </c>
      <c r="BY17" s="67">
        <v>1423</v>
      </c>
      <c r="BZ17" s="68">
        <v>1475.7915433403807</v>
      </c>
      <c r="CA17" s="68">
        <v>1527.406131078224</v>
      </c>
      <c r="CB17" s="68">
        <v>1579.0207188160678</v>
      </c>
      <c r="CC17" s="68">
        <v>1630.6353065539115</v>
      </c>
      <c r="CD17" s="68">
        <v>1682.249894291755</v>
      </c>
      <c r="CE17" s="68">
        <v>1733.8644820295983</v>
      </c>
      <c r="CF17" s="68">
        <v>1785.4790697674421</v>
      </c>
      <c r="CG17" s="68">
        <v>1837.0936575052856</v>
      </c>
      <c r="CH17" s="87">
        <v>387200</v>
      </c>
      <c r="CI17" s="467">
        <v>388064</v>
      </c>
      <c r="CJ17" s="467">
        <v>392542.41599999979</v>
      </c>
      <c r="CK17" s="467">
        <v>395278.81000000006</v>
      </c>
      <c r="CL17" s="468">
        <v>398148.61900000001</v>
      </c>
      <c r="CM17" s="19" t="s">
        <v>68</v>
      </c>
      <c r="CN17" s="70">
        <v>1002</v>
      </c>
      <c r="CO17" s="70">
        <v>1021</v>
      </c>
      <c r="CP17" s="70">
        <v>967</v>
      </c>
      <c r="CQ17" s="70">
        <v>963</v>
      </c>
      <c r="CR17" s="70">
        <v>915</v>
      </c>
      <c r="CS17" s="70">
        <v>994</v>
      </c>
      <c r="CT17" s="70">
        <v>1174</v>
      </c>
      <c r="CU17" s="70">
        <v>1146</v>
      </c>
      <c r="CV17" s="70">
        <v>1302</v>
      </c>
      <c r="CW17" s="70">
        <v>1067</v>
      </c>
      <c r="CX17" s="70">
        <v>999</v>
      </c>
      <c r="CY17" s="70">
        <v>1131</v>
      </c>
      <c r="CZ17" s="70">
        <v>1154</v>
      </c>
      <c r="DA17" s="70">
        <v>1066</v>
      </c>
      <c r="DB17" s="70">
        <v>1047</v>
      </c>
      <c r="DC17" s="70">
        <v>1060</v>
      </c>
      <c r="DD17" s="70">
        <v>988</v>
      </c>
      <c r="DE17" s="70">
        <v>996</v>
      </c>
      <c r="DF17" s="70">
        <v>1143</v>
      </c>
      <c r="DG17" s="70">
        <v>1133</v>
      </c>
      <c r="DH17" s="70">
        <v>1505</v>
      </c>
      <c r="DI17" s="70">
        <v>1302</v>
      </c>
      <c r="DJ17" s="70">
        <v>1107</v>
      </c>
      <c r="DK17" s="70">
        <v>1054</v>
      </c>
      <c r="DL17" s="46">
        <v>1175</v>
      </c>
      <c r="DM17" s="46">
        <v>1113</v>
      </c>
      <c r="DN17" s="46">
        <v>1049</v>
      </c>
      <c r="DO17" s="46">
        <v>1055</v>
      </c>
      <c r="DP17" s="46">
        <v>1040</v>
      </c>
      <c r="DQ17" s="46">
        <v>1015</v>
      </c>
      <c r="DR17" s="46">
        <v>1199</v>
      </c>
      <c r="DS17" s="46">
        <v>1178</v>
      </c>
      <c r="DT17" s="46">
        <v>1362</v>
      </c>
      <c r="DU17" s="46">
        <v>1221</v>
      </c>
      <c r="DV17" s="46">
        <v>1236</v>
      </c>
      <c r="DW17" s="46">
        <v>1150</v>
      </c>
      <c r="DX17" s="46">
        <v>1115</v>
      </c>
      <c r="DY17" s="46">
        <v>1120</v>
      </c>
      <c r="DZ17" s="46">
        <v>1127</v>
      </c>
      <c r="EA17" s="46">
        <v>1093</v>
      </c>
      <c r="EB17" s="46">
        <v>972</v>
      </c>
      <c r="EC17" s="46">
        <v>1044</v>
      </c>
      <c r="ED17" s="46">
        <v>1073</v>
      </c>
      <c r="EE17" s="46">
        <v>1216</v>
      </c>
      <c r="EF17" s="46">
        <v>1330</v>
      </c>
      <c r="EG17" s="46">
        <v>1055</v>
      </c>
      <c r="EH17" s="46">
        <v>993</v>
      </c>
      <c r="EI17" s="46">
        <v>1103</v>
      </c>
      <c r="EJ17" s="46">
        <v>1134</v>
      </c>
      <c r="EK17" s="46">
        <v>1045</v>
      </c>
      <c r="EL17" s="46">
        <v>1006</v>
      </c>
      <c r="EM17" s="46">
        <v>1002</v>
      </c>
      <c r="EN17" s="46">
        <v>986</v>
      </c>
      <c r="EO17" s="46">
        <v>1118</v>
      </c>
      <c r="EP17" s="46">
        <v>1163</v>
      </c>
      <c r="EQ17" s="46">
        <v>1231</v>
      </c>
      <c r="ER17" s="46">
        <v>1409</v>
      </c>
      <c r="ES17" s="46">
        <v>1075</v>
      </c>
      <c r="ET17" s="46">
        <v>3151</v>
      </c>
      <c r="EU17" s="46">
        <v>3185</v>
      </c>
      <c r="EV17" s="46">
        <v>3106</v>
      </c>
      <c r="EW17" s="46">
        <v>3803</v>
      </c>
      <c r="EX17" s="71">
        <v>3461.629118090374</v>
      </c>
      <c r="EY17" s="71">
        <v>3473.4978006090614</v>
      </c>
      <c r="EZ17" s="71">
        <v>3485.3664831277483</v>
      </c>
      <c r="FA17" s="71">
        <v>3497.2351656464352</v>
      </c>
      <c r="FB17" s="71">
        <v>3509.1038481651231</v>
      </c>
      <c r="FC17" s="71">
        <v>3520.97253068381</v>
      </c>
      <c r="FD17" s="71">
        <v>3532.8412132024969</v>
      </c>
      <c r="FE17" s="71">
        <v>3544.7098957211847</v>
      </c>
      <c r="FF17" s="72">
        <v>523115</v>
      </c>
      <c r="FG17" s="72">
        <v>524619</v>
      </c>
      <c r="FH17" s="476">
        <v>526369</v>
      </c>
      <c r="FI17" s="476">
        <v>531260.68900000001</v>
      </c>
      <c r="FJ17" s="476">
        <v>534645.34100000001</v>
      </c>
      <c r="FK17" s="476">
        <v>538161.26599999995</v>
      </c>
    </row>
    <row r="18" spans="1:167">
      <c r="A18" s="73" t="s">
        <v>922</v>
      </c>
      <c r="B18" s="19" t="s">
        <v>923</v>
      </c>
      <c r="C18" s="74" t="s">
        <v>663</v>
      </c>
      <c r="D18" s="75" t="s">
        <v>72</v>
      </c>
      <c r="E18" s="76">
        <v>180</v>
      </c>
      <c r="F18" s="77">
        <v>160</v>
      </c>
      <c r="G18" s="410">
        <v>145</v>
      </c>
      <c r="H18" s="78">
        <v>32840</v>
      </c>
      <c r="I18" s="77">
        <v>33720</v>
      </c>
      <c r="J18" s="410">
        <v>34525</v>
      </c>
      <c r="K18" s="410">
        <v>35110.707999999999</v>
      </c>
      <c r="L18" s="418">
        <v>36046.996999999996</v>
      </c>
      <c r="M18" s="79">
        <v>548.1</v>
      </c>
      <c r="N18" s="80">
        <v>480.4</v>
      </c>
      <c r="O18" s="421">
        <v>424.1</v>
      </c>
      <c r="P18" s="71">
        <v>139</v>
      </c>
      <c r="Q18" s="75" t="s">
        <v>72</v>
      </c>
      <c r="R18" s="81">
        <v>315</v>
      </c>
      <c r="S18" s="77">
        <v>655</v>
      </c>
      <c r="T18" s="452">
        <v>535</v>
      </c>
      <c r="U18" s="77">
        <v>355</v>
      </c>
      <c r="V18" s="77">
        <v>810</v>
      </c>
      <c r="W18" s="452">
        <v>650</v>
      </c>
      <c r="X18" s="82">
        <v>89.2</v>
      </c>
      <c r="Y18" s="83">
        <v>80.8</v>
      </c>
      <c r="Z18" s="443">
        <v>82.1</v>
      </c>
      <c r="AA18" s="63">
        <v>680</v>
      </c>
      <c r="AB18" s="63">
        <v>810</v>
      </c>
      <c r="AC18" s="19" t="s">
        <v>72</v>
      </c>
      <c r="AD18" s="84">
        <v>383</v>
      </c>
      <c r="AE18" s="85">
        <v>459</v>
      </c>
      <c r="AF18" s="85">
        <v>396</v>
      </c>
      <c r="AG18" s="85">
        <v>292</v>
      </c>
      <c r="AH18" s="85">
        <v>305</v>
      </c>
      <c r="AI18" s="85">
        <v>297</v>
      </c>
      <c r="AJ18" s="85">
        <v>255</v>
      </c>
      <c r="AK18" s="85">
        <v>560</v>
      </c>
      <c r="AL18" s="85">
        <v>429</v>
      </c>
      <c r="AM18" s="85">
        <v>416</v>
      </c>
      <c r="AN18" s="85">
        <v>587</v>
      </c>
      <c r="AO18" s="85">
        <v>626</v>
      </c>
      <c r="AP18" s="85">
        <v>499</v>
      </c>
      <c r="AQ18" s="85">
        <v>753</v>
      </c>
      <c r="AR18" s="85">
        <v>703</v>
      </c>
      <c r="AS18" s="85">
        <v>768</v>
      </c>
      <c r="AT18" s="85">
        <v>701</v>
      </c>
      <c r="AU18" s="85">
        <v>571</v>
      </c>
      <c r="AV18" s="85">
        <v>603</v>
      </c>
      <c r="AW18" s="85">
        <v>644</v>
      </c>
      <c r="AX18" s="86">
        <v>421</v>
      </c>
      <c r="AY18" s="86">
        <v>800</v>
      </c>
      <c r="AZ18" s="86">
        <v>745</v>
      </c>
      <c r="BA18" s="86">
        <v>622</v>
      </c>
      <c r="BB18" s="86">
        <v>559</v>
      </c>
      <c r="BC18" s="86">
        <v>580</v>
      </c>
      <c r="BD18" s="86">
        <v>513</v>
      </c>
      <c r="BE18" s="86">
        <v>691</v>
      </c>
      <c r="BF18" s="86">
        <v>803</v>
      </c>
      <c r="BG18" s="86">
        <v>731</v>
      </c>
      <c r="BH18" s="86">
        <v>504</v>
      </c>
      <c r="BI18" s="86">
        <v>538</v>
      </c>
      <c r="BJ18" s="86">
        <v>560</v>
      </c>
      <c r="BK18" s="86">
        <v>980</v>
      </c>
      <c r="BL18" s="86">
        <v>845</v>
      </c>
      <c r="BM18" s="86">
        <v>874</v>
      </c>
      <c r="BN18" s="86">
        <v>839</v>
      </c>
      <c r="BO18" s="86">
        <v>815</v>
      </c>
      <c r="BP18" s="86">
        <v>937</v>
      </c>
      <c r="BQ18" s="86">
        <v>709</v>
      </c>
      <c r="BR18" s="85">
        <v>494</v>
      </c>
      <c r="BS18" s="85">
        <v>622</v>
      </c>
      <c r="BT18" s="85">
        <v>681</v>
      </c>
      <c r="BU18" s="85">
        <v>620</v>
      </c>
      <c r="BV18" s="67">
        <v>2385</v>
      </c>
      <c r="BW18" s="67">
        <v>2528</v>
      </c>
      <c r="BX18" s="67">
        <v>2140</v>
      </c>
      <c r="BY18" s="67">
        <v>1923</v>
      </c>
      <c r="BZ18" s="68">
        <v>2435.5767441860471</v>
      </c>
      <c r="CA18" s="68">
        <v>2513.8418604651165</v>
      </c>
      <c r="CB18" s="68">
        <v>2592.1069767441863</v>
      </c>
      <c r="CC18" s="68">
        <v>2670.3720930232557</v>
      </c>
      <c r="CD18" s="68">
        <v>2748.6372093023256</v>
      </c>
      <c r="CE18" s="68">
        <v>2826.9023255813954</v>
      </c>
      <c r="CF18" s="68">
        <v>2905.1674418604653</v>
      </c>
      <c r="CG18" s="68">
        <v>2983.4325581395351</v>
      </c>
      <c r="CH18" s="87">
        <v>243000</v>
      </c>
      <c r="CI18" s="467">
        <v>244716</v>
      </c>
      <c r="CJ18" s="467">
        <v>246975.90900000001</v>
      </c>
      <c r="CK18" s="467">
        <v>249092.21600000001</v>
      </c>
      <c r="CL18" s="468">
        <v>251417.08300000007</v>
      </c>
      <c r="CM18" s="19" t="s">
        <v>72</v>
      </c>
      <c r="CN18" s="70">
        <v>417</v>
      </c>
      <c r="CO18" s="70">
        <v>415</v>
      </c>
      <c r="CP18" s="70">
        <v>406</v>
      </c>
      <c r="CQ18" s="70">
        <v>427</v>
      </c>
      <c r="CR18" s="70">
        <v>417</v>
      </c>
      <c r="CS18" s="70">
        <v>380</v>
      </c>
      <c r="CT18" s="70">
        <v>476</v>
      </c>
      <c r="CU18" s="70">
        <v>483</v>
      </c>
      <c r="CV18" s="70">
        <v>543</v>
      </c>
      <c r="CW18" s="70">
        <v>484</v>
      </c>
      <c r="CX18" s="70">
        <v>473</v>
      </c>
      <c r="CY18" s="70">
        <v>503</v>
      </c>
      <c r="CZ18" s="70">
        <v>469</v>
      </c>
      <c r="DA18" s="70">
        <v>523</v>
      </c>
      <c r="DB18" s="70">
        <v>411</v>
      </c>
      <c r="DC18" s="70">
        <v>422</v>
      </c>
      <c r="DD18" s="70">
        <v>407</v>
      </c>
      <c r="DE18" s="70">
        <v>480</v>
      </c>
      <c r="DF18" s="70">
        <v>460</v>
      </c>
      <c r="DG18" s="70">
        <v>487</v>
      </c>
      <c r="DH18" s="70">
        <v>593</v>
      </c>
      <c r="DI18" s="70">
        <v>477</v>
      </c>
      <c r="DJ18" s="70">
        <v>459</v>
      </c>
      <c r="DK18" s="70">
        <v>443</v>
      </c>
      <c r="DL18" s="46">
        <v>445</v>
      </c>
      <c r="DM18" s="46">
        <v>427</v>
      </c>
      <c r="DN18" s="46">
        <v>438</v>
      </c>
      <c r="DO18" s="46">
        <v>411</v>
      </c>
      <c r="DP18" s="46">
        <v>383</v>
      </c>
      <c r="DQ18" s="46">
        <v>411</v>
      </c>
      <c r="DR18" s="46">
        <v>460</v>
      </c>
      <c r="DS18" s="46">
        <v>450</v>
      </c>
      <c r="DT18" s="46">
        <v>496</v>
      </c>
      <c r="DU18" s="46">
        <v>486</v>
      </c>
      <c r="DV18" s="46">
        <v>513</v>
      </c>
      <c r="DW18" s="46">
        <v>450</v>
      </c>
      <c r="DX18" s="46">
        <v>448</v>
      </c>
      <c r="DY18" s="46">
        <v>487</v>
      </c>
      <c r="DZ18" s="46">
        <v>435</v>
      </c>
      <c r="EA18" s="46">
        <v>476</v>
      </c>
      <c r="EB18" s="46">
        <v>446</v>
      </c>
      <c r="EC18" s="46">
        <v>461</v>
      </c>
      <c r="ED18" s="46">
        <v>507</v>
      </c>
      <c r="EE18" s="46">
        <v>517</v>
      </c>
      <c r="EF18" s="46">
        <v>568</v>
      </c>
      <c r="EG18" s="46">
        <v>520</v>
      </c>
      <c r="EH18" s="46">
        <v>480</v>
      </c>
      <c r="EI18" s="46">
        <v>481</v>
      </c>
      <c r="EJ18" s="46">
        <v>481</v>
      </c>
      <c r="EK18" s="46">
        <v>485</v>
      </c>
      <c r="EL18" s="46">
        <v>427</v>
      </c>
      <c r="EM18" s="46">
        <v>470</v>
      </c>
      <c r="EN18" s="46">
        <v>433</v>
      </c>
      <c r="EO18" s="46">
        <v>525</v>
      </c>
      <c r="EP18" s="46">
        <v>486</v>
      </c>
      <c r="EQ18" s="46">
        <v>490</v>
      </c>
      <c r="ER18" s="46">
        <v>598</v>
      </c>
      <c r="ES18" s="46">
        <v>443</v>
      </c>
      <c r="ET18" s="46">
        <v>1481</v>
      </c>
      <c r="EU18" s="46">
        <v>1393</v>
      </c>
      <c r="EV18" s="46">
        <v>1428</v>
      </c>
      <c r="EW18" s="46">
        <v>1574</v>
      </c>
      <c r="EX18" s="71">
        <v>1488.0561075394507</v>
      </c>
      <c r="EY18" s="71">
        <v>1496.0777323202806</v>
      </c>
      <c r="EZ18" s="71">
        <v>1504.0993571011104</v>
      </c>
      <c r="FA18" s="71">
        <v>1512.1209818819402</v>
      </c>
      <c r="FB18" s="71">
        <v>1520.1426066627703</v>
      </c>
      <c r="FC18" s="71">
        <v>1528.1642314436003</v>
      </c>
      <c r="FD18" s="71">
        <v>1536.1858562244302</v>
      </c>
      <c r="FE18" s="71">
        <v>1544.20748100526</v>
      </c>
      <c r="FF18" s="72">
        <v>312245</v>
      </c>
      <c r="FG18" s="72">
        <v>314660</v>
      </c>
      <c r="FH18" s="476">
        <v>317264</v>
      </c>
      <c r="FI18" s="476">
        <v>319793.78899999999</v>
      </c>
      <c r="FJ18" s="476">
        <v>322418.19199999998</v>
      </c>
      <c r="FK18" s="476">
        <v>325436.06</v>
      </c>
    </row>
    <row r="19" spans="1:167">
      <c r="A19" s="73" t="s">
        <v>924</v>
      </c>
      <c r="B19" s="19" t="s">
        <v>925</v>
      </c>
      <c r="C19" s="74" t="s">
        <v>664</v>
      </c>
      <c r="D19" s="75" t="s">
        <v>76</v>
      </c>
      <c r="E19" s="76">
        <v>300</v>
      </c>
      <c r="F19" s="77">
        <v>300</v>
      </c>
      <c r="G19" s="410">
        <v>270</v>
      </c>
      <c r="H19" s="78">
        <v>35850</v>
      </c>
      <c r="I19" s="77">
        <v>36605</v>
      </c>
      <c r="J19" s="410">
        <v>37193</v>
      </c>
      <c r="K19" s="410">
        <v>37663.627</v>
      </c>
      <c r="L19" s="418">
        <v>38101.977999999996</v>
      </c>
      <c r="M19" s="79">
        <v>831.3</v>
      </c>
      <c r="N19" s="80">
        <v>816.9</v>
      </c>
      <c r="O19" s="421">
        <v>734.9</v>
      </c>
      <c r="P19" s="71">
        <v>288</v>
      </c>
      <c r="Q19" s="75" t="s">
        <v>76</v>
      </c>
      <c r="R19" s="81">
        <v>250</v>
      </c>
      <c r="S19" s="77">
        <v>300</v>
      </c>
      <c r="T19" s="452">
        <v>265</v>
      </c>
      <c r="U19" s="77">
        <v>280</v>
      </c>
      <c r="V19" s="77">
        <v>345</v>
      </c>
      <c r="W19" s="452">
        <v>330</v>
      </c>
      <c r="X19" s="82">
        <v>88.9</v>
      </c>
      <c r="Y19" s="83">
        <v>85.9</v>
      </c>
      <c r="Z19" s="443">
        <v>80.099999999999994</v>
      </c>
      <c r="AA19" s="63">
        <v>463</v>
      </c>
      <c r="AB19" s="63">
        <v>524</v>
      </c>
      <c r="AC19" s="19" t="s">
        <v>76</v>
      </c>
      <c r="AD19" s="84">
        <v>936</v>
      </c>
      <c r="AE19" s="85">
        <v>801</v>
      </c>
      <c r="AF19" s="85">
        <v>854</v>
      </c>
      <c r="AG19" s="85">
        <v>870</v>
      </c>
      <c r="AH19" s="85">
        <v>1048</v>
      </c>
      <c r="AI19" s="85">
        <v>1021</v>
      </c>
      <c r="AJ19" s="85">
        <v>978</v>
      </c>
      <c r="AK19" s="85">
        <v>895</v>
      </c>
      <c r="AL19" s="85">
        <v>699</v>
      </c>
      <c r="AM19" s="85">
        <v>522</v>
      </c>
      <c r="AN19" s="85">
        <v>722</v>
      </c>
      <c r="AO19" s="85">
        <v>463</v>
      </c>
      <c r="AP19" s="85">
        <v>351</v>
      </c>
      <c r="AQ19" s="85">
        <v>420</v>
      </c>
      <c r="AR19" s="85">
        <v>545</v>
      </c>
      <c r="AS19" s="85">
        <v>556</v>
      </c>
      <c r="AT19" s="85">
        <v>901</v>
      </c>
      <c r="AU19" s="85">
        <v>767</v>
      </c>
      <c r="AV19" s="85">
        <v>722</v>
      </c>
      <c r="AW19" s="85">
        <v>810</v>
      </c>
      <c r="AX19" s="86">
        <v>787</v>
      </c>
      <c r="AY19" s="86">
        <v>1270</v>
      </c>
      <c r="AZ19" s="86">
        <v>1135</v>
      </c>
      <c r="BA19" s="86">
        <v>1012</v>
      </c>
      <c r="BB19" s="86">
        <v>893</v>
      </c>
      <c r="BC19" s="86">
        <v>746</v>
      </c>
      <c r="BD19" s="86">
        <v>737</v>
      </c>
      <c r="BE19" s="86">
        <v>785</v>
      </c>
      <c r="BF19" s="86">
        <v>680</v>
      </c>
      <c r="BG19" s="86">
        <v>714</v>
      </c>
      <c r="BH19" s="86">
        <v>456</v>
      </c>
      <c r="BI19" s="86">
        <v>831</v>
      </c>
      <c r="BJ19" s="86">
        <v>672</v>
      </c>
      <c r="BK19" s="86">
        <v>472</v>
      </c>
      <c r="BL19" s="86">
        <v>596</v>
      </c>
      <c r="BM19" s="86">
        <v>446</v>
      </c>
      <c r="BN19" s="86">
        <v>530</v>
      </c>
      <c r="BO19" s="86">
        <v>503</v>
      </c>
      <c r="BP19" s="86">
        <v>442</v>
      </c>
      <c r="BQ19" s="86">
        <v>406</v>
      </c>
      <c r="BR19" s="85">
        <v>541</v>
      </c>
      <c r="BS19" s="85">
        <v>637</v>
      </c>
      <c r="BT19" s="85">
        <v>418</v>
      </c>
      <c r="BU19" s="85">
        <v>609</v>
      </c>
      <c r="BV19" s="67">
        <v>1740</v>
      </c>
      <c r="BW19" s="67">
        <v>1479</v>
      </c>
      <c r="BX19" s="67">
        <v>1389</v>
      </c>
      <c r="BY19" s="67">
        <v>1664</v>
      </c>
      <c r="BZ19" s="68">
        <v>1579.8334038054973</v>
      </c>
      <c r="CA19" s="68">
        <v>1509.9562367864696</v>
      </c>
      <c r="CB19" s="68">
        <v>1440.0790697674422</v>
      </c>
      <c r="CC19" s="68">
        <v>1370.2019027484148</v>
      </c>
      <c r="CD19" s="68">
        <v>1300.3247357293872</v>
      </c>
      <c r="CE19" s="68">
        <v>1230.4475687103597</v>
      </c>
      <c r="CF19" s="68">
        <v>1160.5704016913323</v>
      </c>
      <c r="CG19" s="68">
        <v>1090.6932346723047</v>
      </c>
      <c r="CH19" s="87">
        <v>225700</v>
      </c>
      <c r="CI19" s="467">
        <v>227451</v>
      </c>
      <c r="CJ19" s="467">
        <v>228932.43500000008</v>
      </c>
      <c r="CK19" s="467">
        <v>230715.57799999998</v>
      </c>
      <c r="CL19" s="468">
        <v>232587.85100000008</v>
      </c>
      <c r="CM19" s="19" t="s">
        <v>76</v>
      </c>
      <c r="CN19" s="70">
        <v>357</v>
      </c>
      <c r="CO19" s="70">
        <v>350</v>
      </c>
      <c r="CP19" s="70">
        <v>355</v>
      </c>
      <c r="CQ19" s="70">
        <v>333</v>
      </c>
      <c r="CR19" s="70">
        <v>322</v>
      </c>
      <c r="CS19" s="70">
        <v>343</v>
      </c>
      <c r="CT19" s="70">
        <v>374</v>
      </c>
      <c r="CU19" s="70">
        <v>378</v>
      </c>
      <c r="CV19" s="70">
        <v>400</v>
      </c>
      <c r="CW19" s="70">
        <v>382</v>
      </c>
      <c r="CX19" s="70">
        <v>350</v>
      </c>
      <c r="CY19" s="70">
        <v>362</v>
      </c>
      <c r="CZ19" s="70">
        <v>368</v>
      </c>
      <c r="DA19" s="70">
        <v>411</v>
      </c>
      <c r="DB19" s="70">
        <v>332</v>
      </c>
      <c r="DC19" s="70">
        <v>350</v>
      </c>
      <c r="DD19" s="70">
        <v>391</v>
      </c>
      <c r="DE19" s="70">
        <v>344</v>
      </c>
      <c r="DF19" s="70">
        <v>369</v>
      </c>
      <c r="DG19" s="70">
        <v>384</v>
      </c>
      <c r="DH19" s="70">
        <v>426</v>
      </c>
      <c r="DI19" s="70">
        <v>400</v>
      </c>
      <c r="DJ19" s="70">
        <v>393</v>
      </c>
      <c r="DK19" s="70">
        <v>368</v>
      </c>
      <c r="DL19" s="46">
        <v>359</v>
      </c>
      <c r="DM19" s="46">
        <v>357</v>
      </c>
      <c r="DN19" s="46">
        <v>330</v>
      </c>
      <c r="DO19" s="46">
        <v>357</v>
      </c>
      <c r="DP19" s="46">
        <v>358</v>
      </c>
      <c r="DQ19" s="46">
        <v>356</v>
      </c>
      <c r="DR19" s="46">
        <v>385</v>
      </c>
      <c r="DS19" s="46">
        <v>394</v>
      </c>
      <c r="DT19" s="46">
        <v>408</v>
      </c>
      <c r="DU19" s="46">
        <v>403</v>
      </c>
      <c r="DV19" s="46">
        <v>348</v>
      </c>
      <c r="DW19" s="46">
        <v>373</v>
      </c>
      <c r="DX19" s="46">
        <v>355</v>
      </c>
      <c r="DY19" s="46">
        <v>361</v>
      </c>
      <c r="DZ19" s="46">
        <v>362</v>
      </c>
      <c r="EA19" s="46">
        <v>349</v>
      </c>
      <c r="EB19" s="46">
        <v>310</v>
      </c>
      <c r="EC19" s="46">
        <v>329</v>
      </c>
      <c r="ED19" s="46">
        <v>402</v>
      </c>
      <c r="EE19" s="46">
        <v>440</v>
      </c>
      <c r="EF19" s="46">
        <v>439</v>
      </c>
      <c r="EG19" s="46">
        <v>405</v>
      </c>
      <c r="EH19" s="46">
        <v>375</v>
      </c>
      <c r="EI19" s="46">
        <v>355</v>
      </c>
      <c r="EJ19" s="46">
        <v>376</v>
      </c>
      <c r="EK19" s="46">
        <v>375</v>
      </c>
      <c r="EL19" s="46">
        <v>321</v>
      </c>
      <c r="EM19" s="46">
        <v>368</v>
      </c>
      <c r="EN19" s="46">
        <v>377</v>
      </c>
      <c r="EO19" s="46">
        <v>341</v>
      </c>
      <c r="EP19" s="46">
        <v>399</v>
      </c>
      <c r="EQ19" s="46">
        <v>406</v>
      </c>
      <c r="ER19" s="46">
        <v>471</v>
      </c>
      <c r="ES19" s="46">
        <v>327</v>
      </c>
      <c r="ET19" s="46">
        <v>1135</v>
      </c>
      <c r="EU19" s="46">
        <v>1072</v>
      </c>
      <c r="EV19" s="46">
        <v>1086</v>
      </c>
      <c r="EW19" s="46">
        <v>1276</v>
      </c>
      <c r="EX19" s="71">
        <v>1150.3899535513242</v>
      </c>
      <c r="EY19" s="71">
        <v>1153.8652065581839</v>
      </c>
      <c r="EZ19" s="71">
        <v>1157.3404595650436</v>
      </c>
      <c r="FA19" s="71">
        <v>1160.8157125719031</v>
      </c>
      <c r="FB19" s="71">
        <v>1164.2909655787628</v>
      </c>
      <c r="FC19" s="71">
        <v>1167.7662185856225</v>
      </c>
      <c r="FD19" s="71">
        <v>1171.241471592482</v>
      </c>
      <c r="FE19" s="71">
        <v>1174.7167245993419</v>
      </c>
      <c r="FF19" s="72">
        <v>272952</v>
      </c>
      <c r="FG19" s="72">
        <v>275762</v>
      </c>
      <c r="FH19" s="476">
        <v>278112</v>
      </c>
      <c r="FI19" s="476">
        <v>279669.72100000002</v>
      </c>
      <c r="FJ19" s="476">
        <v>281599.54200000002</v>
      </c>
      <c r="FK19" s="476">
        <v>283713.36599999998</v>
      </c>
    </row>
    <row r="20" spans="1:167">
      <c r="A20" s="73" t="s">
        <v>926</v>
      </c>
      <c r="B20" s="19" t="s">
        <v>927</v>
      </c>
      <c r="C20" s="74" t="s">
        <v>665</v>
      </c>
      <c r="D20" s="75" t="s">
        <v>79</v>
      </c>
      <c r="E20" s="76">
        <v>455</v>
      </c>
      <c r="F20" s="77">
        <v>470</v>
      </c>
      <c r="G20" s="410">
        <v>415</v>
      </c>
      <c r="H20" s="78">
        <v>56075</v>
      </c>
      <c r="I20" s="77">
        <v>57190</v>
      </c>
      <c r="J20" s="410">
        <v>58026</v>
      </c>
      <c r="K20" s="410">
        <v>58861.437000000005</v>
      </c>
      <c r="L20" s="418">
        <v>59694.473999999987</v>
      </c>
      <c r="M20" s="79">
        <v>811.4</v>
      </c>
      <c r="N20" s="80">
        <v>818.3</v>
      </c>
      <c r="O20" s="421">
        <v>725.7</v>
      </c>
      <c r="P20" s="71">
        <v>430</v>
      </c>
      <c r="Q20" s="75" t="s">
        <v>79</v>
      </c>
      <c r="R20" s="81">
        <v>110</v>
      </c>
      <c r="S20" s="77">
        <v>80</v>
      </c>
      <c r="T20" s="452">
        <v>115</v>
      </c>
      <c r="U20" s="77">
        <v>135</v>
      </c>
      <c r="V20" s="77">
        <v>95</v>
      </c>
      <c r="W20" s="452">
        <v>160</v>
      </c>
      <c r="X20" s="82">
        <v>80</v>
      </c>
      <c r="Y20" s="83">
        <v>82.5</v>
      </c>
      <c r="Z20" s="443">
        <v>73.099999999999994</v>
      </c>
      <c r="AA20" s="63">
        <v>146</v>
      </c>
      <c r="AB20" s="63">
        <v>164</v>
      </c>
      <c r="AC20" s="19" t="s">
        <v>79</v>
      </c>
      <c r="AD20" s="84">
        <v>1007</v>
      </c>
      <c r="AE20" s="85">
        <v>892</v>
      </c>
      <c r="AF20" s="85">
        <v>815</v>
      </c>
      <c r="AG20" s="85">
        <v>743</v>
      </c>
      <c r="AH20" s="85">
        <v>697</v>
      </c>
      <c r="AI20" s="85">
        <v>788</v>
      </c>
      <c r="AJ20" s="85">
        <v>795</v>
      </c>
      <c r="AK20" s="85">
        <v>1235</v>
      </c>
      <c r="AL20" s="85">
        <v>559</v>
      </c>
      <c r="AM20" s="85">
        <v>923</v>
      </c>
      <c r="AN20" s="85">
        <v>999</v>
      </c>
      <c r="AO20" s="85">
        <v>968</v>
      </c>
      <c r="AP20" s="85">
        <v>922</v>
      </c>
      <c r="AQ20" s="85">
        <v>978</v>
      </c>
      <c r="AR20" s="85">
        <v>839</v>
      </c>
      <c r="AS20" s="85">
        <v>1018</v>
      </c>
      <c r="AT20" s="85">
        <v>1114</v>
      </c>
      <c r="AU20" s="85">
        <v>881</v>
      </c>
      <c r="AV20" s="85">
        <v>1112</v>
      </c>
      <c r="AW20" s="85">
        <v>1012</v>
      </c>
      <c r="AX20" s="86">
        <v>778</v>
      </c>
      <c r="AY20" s="86">
        <v>877</v>
      </c>
      <c r="AZ20" s="86">
        <v>775</v>
      </c>
      <c r="BA20" s="86">
        <v>654</v>
      </c>
      <c r="BB20" s="86">
        <v>770</v>
      </c>
      <c r="BC20" s="86">
        <v>765</v>
      </c>
      <c r="BD20" s="86">
        <v>962</v>
      </c>
      <c r="BE20" s="86">
        <v>1449</v>
      </c>
      <c r="BF20" s="86">
        <v>1379</v>
      </c>
      <c r="BG20" s="86">
        <v>1329</v>
      </c>
      <c r="BH20" s="86">
        <v>1159</v>
      </c>
      <c r="BI20" s="86">
        <v>1135</v>
      </c>
      <c r="BJ20" s="86">
        <v>1108</v>
      </c>
      <c r="BK20" s="86">
        <v>1245</v>
      </c>
      <c r="BL20" s="86">
        <v>1335</v>
      </c>
      <c r="BM20" s="86">
        <v>1420</v>
      </c>
      <c r="BN20" s="86">
        <v>1316</v>
      </c>
      <c r="BO20" s="86">
        <v>1206</v>
      </c>
      <c r="BP20" s="86">
        <v>1289</v>
      </c>
      <c r="BQ20" s="86">
        <v>2152</v>
      </c>
      <c r="BR20" s="85">
        <v>1679</v>
      </c>
      <c r="BS20" s="85">
        <v>2007</v>
      </c>
      <c r="BT20" s="85">
        <v>2043</v>
      </c>
      <c r="BU20" s="85">
        <v>2521</v>
      </c>
      <c r="BV20" s="67">
        <v>3688</v>
      </c>
      <c r="BW20" s="67">
        <v>3942</v>
      </c>
      <c r="BX20" s="67">
        <v>5120</v>
      </c>
      <c r="BY20" s="67">
        <v>6571</v>
      </c>
      <c r="BZ20" s="68">
        <v>5062.3919661733617</v>
      </c>
      <c r="CA20" s="68">
        <v>5276.4980972515859</v>
      </c>
      <c r="CB20" s="68">
        <v>5490.6042283298102</v>
      </c>
      <c r="CC20" s="68">
        <v>5704.7103594080345</v>
      </c>
      <c r="CD20" s="68">
        <v>5918.8164904862588</v>
      </c>
      <c r="CE20" s="68">
        <v>6132.9226215644831</v>
      </c>
      <c r="CF20" s="68">
        <v>6347.0287526427073</v>
      </c>
      <c r="CG20" s="68">
        <v>6561.1348837209298</v>
      </c>
      <c r="CH20" s="87">
        <v>343100</v>
      </c>
      <c r="CI20" s="467">
        <v>346951</v>
      </c>
      <c r="CJ20" s="467">
        <v>349786.98400000005</v>
      </c>
      <c r="CK20" s="467">
        <v>353208.54099999997</v>
      </c>
      <c r="CL20" s="468">
        <v>356666.27399999998</v>
      </c>
      <c r="CM20" s="19" t="s">
        <v>79</v>
      </c>
      <c r="CN20" s="70">
        <v>653</v>
      </c>
      <c r="CO20" s="70">
        <v>601</v>
      </c>
      <c r="CP20" s="70">
        <v>563</v>
      </c>
      <c r="CQ20" s="70">
        <v>567</v>
      </c>
      <c r="CR20" s="70">
        <v>481</v>
      </c>
      <c r="CS20" s="70">
        <v>568</v>
      </c>
      <c r="CT20" s="70">
        <v>664</v>
      </c>
      <c r="CU20" s="70">
        <v>616</v>
      </c>
      <c r="CV20" s="70">
        <v>744</v>
      </c>
      <c r="CW20" s="70">
        <v>602</v>
      </c>
      <c r="CX20" s="70">
        <v>642</v>
      </c>
      <c r="CY20" s="70">
        <v>632</v>
      </c>
      <c r="CZ20" s="70">
        <v>701</v>
      </c>
      <c r="DA20" s="70">
        <v>693</v>
      </c>
      <c r="DB20" s="70">
        <v>617</v>
      </c>
      <c r="DC20" s="70">
        <v>581</v>
      </c>
      <c r="DD20" s="70">
        <v>542</v>
      </c>
      <c r="DE20" s="70">
        <v>580</v>
      </c>
      <c r="DF20" s="70">
        <v>622</v>
      </c>
      <c r="DG20" s="70">
        <v>617</v>
      </c>
      <c r="DH20" s="70">
        <v>866</v>
      </c>
      <c r="DI20" s="70">
        <v>725</v>
      </c>
      <c r="DJ20" s="70">
        <v>612</v>
      </c>
      <c r="DK20" s="70">
        <v>581</v>
      </c>
      <c r="DL20" s="46">
        <v>611</v>
      </c>
      <c r="DM20" s="46">
        <v>590</v>
      </c>
      <c r="DN20" s="46">
        <v>607</v>
      </c>
      <c r="DO20" s="46">
        <v>567</v>
      </c>
      <c r="DP20" s="46">
        <v>541</v>
      </c>
      <c r="DQ20" s="46">
        <v>571</v>
      </c>
      <c r="DR20" s="46">
        <v>624</v>
      </c>
      <c r="DS20" s="46">
        <v>621</v>
      </c>
      <c r="DT20" s="46">
        <v>756</v>
      </c>
      <c r="DU20" s="46">
        <v>647</v>
      </c>
      <c r="DV20" s="46">
        <v>705</v>
      </c>
      <c r="DW20" s="46">
        <v>648</v>
      </c>
      <c r="DX20" s="46">
        <v>653</v>
      </c>
      <c r="DY20" s="46">
        <v>666</v>
      </c>
      <c r="DZ20" s="46">
        <v>634</v>
      </c>
      <c r="EA20" s="46">
        <v>706</v>
      </c>
      <c r="EB20" s="46">
        <v>627</v>
      </c>
      <c r="EC20" s="46">
        <v>592</v>
      </c>
      <c r="ED20" s="46">
        <v>647</v>
      </c>
      <c r="EE20" s="46">
        <v>666</v>
      </c>
      <c r="EF20" s="46">
        <v>731</v>
      </c>
      <c r="EG20" s="46">
        <v>748</v>
      </c>
      <c r="EH20" s="46">
        <v>613</v>
      </c>
      <c r="EI20" s="46">
        <v>640</v>
      </c>
      <c r="EJ20" s="46">
        <v>734</v>
      </c>
      <c r="EK20" s="46">
        <v>639</v>
      </c>
      <c r="EL20" s="46">
        <v>612</v>
      </c>
      <c r="EM20" s="46">
        <v>650</v>
      </c>
      <c r="EN20" s="46">
        <v>656</v>
      </c>
      <c r="EO20" s="46">
        <v>648</v>
      </c>
      <c r="EP20" s="46">
        <v>628</v>
      </c>
      <c r="EQ20" s="46">
        <v>725</v>
      </c>
      <c r="ER20" s="46">
        <v>800</v>
      </c>
      <c r="ES20" s="46">
        <v>601</v>
      </c>
      <c r="ET20" s="46">
        <v>2001</v>
      </c>
      <c r="EU20" s="46">
        <v>1985</v>
      </c>
      <c r="EV20" s="46">
        <v>1954</v>
      </c>
      <c r="EW20" s="46">
        <v>2153</v>
      </c>
      <c r="EX20" s="71">
        <v>2045.033252330124</v>
      </c>
      <c r="EY20" s="71">
        <v>2056.3169583807558</v>
      </c>
      <c r="EZ20" s="71">
        <v>2067.6006644313884</v>
      </c>
      <c r="FA20" s="71">
        <v>2078.8843704820201</v>
      </c>
      <c r="FB20" s="71">
        <v>2090.1680765326523</v>
      </c>
      <c r="FC20" s="71">
        <v>2101.4517825832845</v>
      </c>
      <c r="FD20" s="71">
        <v>2112.7354886339167</v>
      </c>
      <c r="FE20" s="71">
        <v>2124.0191946845489</v>
      </c>
      <c r="FF20" s="72">
        <v>428074</v>
      </c>
      <c r="FG20" s="72">
        <v>432451</v>
      </c>
      <c r="FH20" s="476">
        <v>437492</v>
      </c>
      <c r="FI20" s="476">
        <v>441285.527</v>
      </c>
      <c r="FJ20" s="476">
        <v>445810.34700000001</v>
      </c>
      <c r="FK20" s="476">
        <v>450455.02899999998</v>
      </c>
    </row>
    <row r="21" spans="1:167">
      <c r="A21" s="73" t="s">
        <v>907</v>
      </c>
      <c r="B21" s="19" t="s">
        <v>908</v>
      </c>
      <c r="C21" s="74" t="s">
        <v>666</v>
      </c>
      <c r="D21" s="75" t="s">
        <v>83</v>
      </c>
      <c r="E21" s="76">
        <v>290</v>
      </c>
      <c r="F21" s="77">
        <v>180</v>
      </c>
      <c r="G21" s="410">
        <v>250</v>
      </c>
      <c r="H21" s="78">
        <v>52400</v>
      </c>
      <c r="I21" s="77">
        <v>54140</v>
      </c>
      <c r="J21" s="410">
        <v>55409</v>
      </c>
      <c r="K21" s="410">
        <v>56340.059000000008</v>
      </c>
      <c r="L21" s="418">
        <v>57130.464000000007</v>
      </c>
      <c r="M21" s="79">
        <v>549.6</v>
      </c>
      <c r="N21" s="80">
        <v>336.2</v>
      </c>
      <c r="O21" s="421">
        <v>458.1</v>
      </c>
      <c r="P21" s="71">
        <v>168.27</v>
      </c>
      <c r="Q21" s="75" t="s">
        <v>83</v>
      </c>
      <c r="R21" s="81">
        <v>380</v>
      </c>
      <c r="S21" s="77">
        <v>525</v>
      </c>
      <c r="T21" s="452">
        <v>70</v>
      </c>
      <c r="U21" s="77">
        <v>470</v>
      </c>
      <c r="V21" s="77">
        <v>650</v>
      </c>
      <c r="W21" s="452">
        <v>85</v>
      </c>
      <c r="X21" s="82">
        <v>80.599999999999994</v>
      </c>
      <c r="Y21" s="83">
        <v>80.599999999999994</v>
      </c>
      <c r="Z21" s="443">
        <v>82.6</v>
      </c>
      <c r="AA21" s="63">
        <v>540</v>
      </c>
      <c r="AB21" s="63">
        <v>650</v>
      </c>
      <c r="AC21" s="19" t="s">
        <v>83</v>
      </c>
      <c r="AD21" s="84">
        <v>212</v>
      </c>
      <c r="AE21" s="85">
        <v>236</v>
      </c>
      <c r="AF21" s="85">
        <v>326</v>
      </c>
      <c r="AG21" s="85">
        <v>254</v>
      </c>
      <c r="AH21" s="85">
        <v>145</v>
      </c>
      <c r="AI21" s="85">
        <v>172</v>
      </c>
      <c r="AJ21" s="85">
        <v>224</v>
      </c>
      <c r="AK21" s="85">
        <v>246</v>
      </c>
      <c r="AL21" s="85">
        <v>190</v>
      </c>
      <c r="AM21" s="85">
        <v>217</v>
      </c>
      <c r="AN21" s="85">
        <v>258</v>
      </c>
      <c r="AO21" s="85">
        <v>175</v>
      </c>
      <c r="AP21" s="85">
        <v>191</v>
      </c>
      <c r="AQ21" s="85">
        <v>175</v>
      </c>
      <c r="AR21" s="85">
        <v>135</v>
      </c>
      <c r="AS21" s="85">
        <v>241</v>
      </c>
      <c r="AT21" s="85">
        <v>111</v>
      </c>
      <c r="AU21" s="85">
        <v>172</v>
      </c>
      <c r="AV21" s="85">
        <v>154</v>
      </c>
      <c r="AW21" s="85">
        <v>148</v>
      </c>
      <c r="AX21" s="86">
        <v>145</v>
      </c>
      <c r="AY21" s="86">
        <v>137</v>
      </c>
      <c r="AZ21" s="86">
        <v>108</v>
      </c>
      <c r="BA21" s="86">
        <v>244</v>
      </c>
      <c r="BB21" s="86">
        <v>162</v>
      </c>
      <c r="BC21" s="86">
        <v>394</v>
      </c>
      <c r="BD21" s="86">
        <v>277</v>
      </c>
      <c r="BE21" s="86">
        <v>263</v>
      </c>
      <c r="BF21" s="86">
        <v>192</v>
      </c>
      <c r="BG21" s="86">
        <v>264</v>
      </c>
      <c r="BH21" s="86">
        <v>132</v>
      </c>
      <c r="BI21" s="86">
        <v>184</v>
      </c>
      <c r="BJ21" s="86">
        <v>211</v>
      </c>
      <c r="BK21" s="86">
        <v>204</v>
      </c>
      <c r="BL21" s="86">
        <v>185</v>
      </c>
      <c r="BM21" s="86">
        <v>148</v>
      </c>
      <c r="BN21" s="86">
        <v>193</v>
      </c>
      <c r="BO21" s="86">
        <v>188</v>
      </c>
      <c r="BP21" s="86">
        <v>260</v>
      </c>
      <c r="BQ21" s="86">
        <v>223</v>
      </c>
      <c r="BR21" s="85">
        <v>225</v>
      </c>
      <c r="BS21" s="85">
        <v>179</v>
      </c>
      <c r="BT21" s="85">
        <v>135</v>
      </c>
      <c r="BU21" s="85">
        <v>233</v>
      </c>
      <c r="BV21" s="67">
        <v>600</v>
      </c>
      <c r="BW21" s="67">
        <v>529</v>
      </c>
      <c r="BX21" s="67">
        <v>708</v>
      </c>
      <c r="BY21" s="67">
        <v>547</v>
      </c>
      <c r="BZ21" s="68">
        <v>582.70634249471459</v>
      </c>
      <c r="CA21" s="68">
        <v>579.90676532769555</v>
      </c>
      <c r="CB21" s="68">
        <v>577.10718816067651</v>
      </c>
      <c r="CC21" s="68">
        <v>574.30761099365759</v>
      </c>
      <c r="CD21" s="68">
        <v>571.50803382663844</v>
      </c>
      <c r="CE21" s="68">
        <v>568.7084566596194</v>
      </c>
      <c r="CF21" s="68">
        <v>565.90887949260036</v>
      </c>
      <c r="CG21" s="68">
        <v>563.10930232558144</v>
      </c>
      <c r="CH21" s="87">
        <v>244400</v>
      </c>
      <c r="CI21" s="467">
        <v>247450</v>
      </c>
      <c r="CJ21" s="467">
        <v>249227.30100000001</v>
      </c>
      <c r="CK21" s="467">
        <v>251893.726</v>
      </c>
      <c r="CL21" s="468">
        <v>254503.94600000011</v>
      </c>
      <c r="CM21" s="19" t="s">
        <v>83</v>
      </c>
      <c r="CN21" s="70">
        <v>374</v>
      </c>
      <c r="CO21" s="70">
        <v>391</v>
      </c>
      <c r="CP21" s="70">
        <v>393</v>
      </c>
      <c r="CQ21" s="70">
        <v>413</v>
      </c>
      <c r="CR21" s="70">
        <v>354</v>
      </c>
      <c r="CS21" s="70">
        <v>328</v>
      </c>
      <c r="CT21" s="70">
        <v>390</v>
      </c>
      <c r="CU21" s="70">
        <v>434</v>
      </c>
      <c r="CV21" s="70">
        <v>473</v>
      </c>
      <c r="CW21" s="70">
        <v>396</v>
      </c>
      <c r="CX21" s="70">
        <v>388</v>
      </c>
      <c r="CY21" s="70">
        <v>381</v>
      </c>
      <c r="CZ21" s="70">
        <v>398</v>
      </c>
      <c r="DA21" s="70">
        <v>401</v>
      </c>
      <c r="DB21" s="70">
        <v>372</v>
      </c>
      <c r="DC21" s="70">
        <v>374</v>
      </c>
      <c r="DD21" s="70">
        <v>394</v>
      </c>
      <c r="DE21" s="70">
        <v>434</v>
      </c>
      <c r="DF21" s="70">
        <v>358</v>
      </c>
      <c r="DG21" s="70">
        <v>421</v>
      </c>
      <c r="DH21" s="70">
        <v>424</v>
      </c>
      <c r="DI21" s="70">
        <v>404</v>
      </c>
      <c r="DJ21" s="70">
        <v>388</v>
      </c>
      <c r="DK21" s="70">
        <v>414</v>
      </c>
      <c r="DL21" s="46">
        <v>469</v>
      </c>
      <c r="DM21" s="46">
        <v>401</v>
      </c>
      <c r="DN21" s="46">
        <v>383</v>
      </c>
      <c r="DO21" s="46">
        <v>384</v>
      </c>
      <c r="DP21" s="46">
        <v>370</v>
      </c>
      <c r="DQ21" s="46">
        <v>352</v>
      </c>
      <c r="DR21" s="46">
        <v>393</v>
      </c>
      <c r="DS21" s="46">
        <v>425</v>
      </c>
      <c r="DT21" s="46">
        <v>482</v>
      </c>
      <c r="DU21" s="46">
        <v>451</v>
      </c>
      <c r="DV21" s="46">
        <v>453</v>
      </c>
      <c r="DW21" s="46">
        <v>360</v>
      </c>
      <c r="DX21" s="46">
        <v>436</v>
      </c>
      <c r="DY21" s="46">
        <v>455</v>
      </c>
      <c r="DZ21" s="46">
        <v>388</v>
      </c>
      <c r="EA21" s="46">
        <v>441</v>
      </c>
      <c r="EB21" s="46">
        <v>453</v>
      </c>
      <c r="EC21" s="46">
        <v>392</v>
      </c>
      <c r="ED21" s="46">
        <v>450</v>
      </c>
      <c r="EE21" s="46">
        <v>458</v>
      </c>
      <c r="EF21" s="46">
        <v>488</v>
      </c>
      <c r="EG21" s="46">
        <v>422</v>
      </c>
      <c r="EH21" s="46">
        <v>405</v>
      </c>
      <c r="EI21" s="46">
        <v>360</v>
      </c>
      <c r="EJ21" s="46">
        <v>94</v>
      </c>
      <c r="EK21" s="46">
        <v>105</v>
      </c>
      <c r="EL21" s="46">
        <v>88</v>
      </c>
      <c r="EM21" s="46">
        <v>83</v>
      </c>
      <c r="EN21" s="46">
        <v>87</v>
      </c>
      <c r="EO21" s="46">
        <v>153</v>
      </c>
      <c r="EP21" s="46">
        <v>409</v>
      </c>
      <c r="EQ21" s="46">
        <v>380</v>
      </c>
      <c r="ER21" s="46">
        <v>424</v>
      </c>
      <c r="ES21" s="46">
        <v>328</v>
      </c>
      <c r="ET21" s="46">
        <v>1187</v>
      </c>
      <c r="EU21" s="46">
        <v>287</v>
      </c>
      <c r="EV21" s="46">
        <v>323</v>
      </c>
      <c r="EW21" s="46">
        <v>1213</v>
      </c>
      <c r="EX21" s="71">
        <v>921.26152757697855</v>
      </c>
      <c r="EY21" s="71">
        <v>902.60290996339484</v>
      </c>
      <c r="EZ21" s="71">
        <v>883.94429234981078</v>
      </c>
      <c r="FA21" s="71">
        <v>865.28567473622684</v>
      </c>
      <c r="FB21" s="71">
        <v>846.62705712264301</v>
      </c>
      <c r="FC21" s="71">
        <v>827.96843950905895</v>
      </c>
      <c r="FD21" s="71">
        <v>809.30982189547512</v>
      </c>
      <c r="FE21" s="71">
        <v>790.65120428189118</v>
      </c>
      <c r="FF21" s="72">
        <v>310554</v>
      </c>
      <c r="FG21" s="72">
        <v>314036</v>
      </c>
      <c r="FH21" s="476">
        <v>317899</v>
      </c>
      <c r="FI21" s="476">
        <v>320459.88099999999</v>
      </c>
      <c r="FJ21" s="476">
        <v>323944.03700000001</v>
      </c>
      <c r="FK21" s="476">
        <v>327535.359</v>
      </c>
    </row>
    <row r="22" spans="1:167">
      <c r="A22" s="73" t="s">
        <v>918</v>
      </c>
      <c r="B22" s="19" t="s">
        <v>919</v>
      </c>
      <c r="C22" s="74" t="s">
        <v>667</v>
      </c>
      <c r="D22" s="75" t="s">
        <v>86</v>
      </c>
      <c r="E22" s="76">
        <v>500</v>
      </c>
      <c r="F22" s="77">
        <v>585</v>
      </c>
      <c r="G22" s="410">
        <v>610</v>
      </c>
      <c r="H22" s="78">
        <v>84945</v>
      </c>
      <c r="I22" s="77">
        <v>88735</v>
      </c>
      <c r="J22" s="410">
        <v>91814</v>
      </c>
      <c r="K22" s="410">
        <v>94454.112999999998</v>
      </c>
      <c r="L22" s="418">
        <v>96820.106</v>
      </c>
      <c r="M22" s="79">
        <v>588.6</v>
      </c>
      <c r="N22" s="80">
        <v>657</v>
      </c>
      <c r="O22" s="421">
        <v>687.4</v>
      </c>
      <c r="P22" s="71">
        <v>585</v>
      </c>
      <c r="Q22" s="75" t="s">
        <v>86</v>
      </c>
      <c r="R22" s="81">
        <v>115</v>
      </c>
      <c r="S22" s="77">
        <v>250</v>
      </c>
      <c r="T22" s="452">
        <v>415</v>
      </c>
      <c r="U22" s="77">
        <v>150</v>
      </c>
      <c r="V22" s="77">
        <v>320</v>
      </c>
      <c r="W22" s="452">
        <v>685</v>
      </c>
      <c r="X22" s="82">
        <v>76.7</v>
      </c>
      <c r="Y22" s="83">
        <v>78.2</v>
      </c>
      <c r="Z22" s="443">
        <v>60.8</v>
      </c>
      <c r="AA22" s="63">
        <v>275</v>
      </c>
      <c r="AB22" s="63">
        <v>320</v>
      </c>
      <c r="AC22" s="19" t="s">
        <v>86</v>
      </c>
      <c r="AD22" s="84">
        <v>612</v>
      </c>
      <c r="AE22" s="85">
        <v>1128</v>
      </c>
      <c r="AF22" s="85">
        <v>999</v>
      </c>
      <c r="AG22" s="85">
        <v>1110</v>
      </c>
      <c r="AH22" s="85">
        <v>1150</v>
      </c>
      <c r="AI22" s="85">
        <v>1285</v>
      </c>
      <c r="AJ22" s="85">
        <v>1208</v>
      </c>
      <c r="AK22" s="85">
        <v>1102</v>
      </c>
      <c r="AL22" s="85">
        <v>878</v>
      </c>
      <c r="AM22" s="85">
        <v>1085</v>
      </c>
      <c r="AN22" s="85">
        <v>1167</v>
      </c>
      <c r="AO22" s="85">
        <v>1318</v>
      </c>
      <c r="AP22" s="85">
        <v>1138</v>
      </c>
      <c r="AQ22" s="85">
        <v>920</v>
      </c>
      <c r="AR22" s="85">
        <v>802</v>
      </c>
      <c r="AS22" s="85">
        <v>848</v>
      </c>
      <c r="AT22" s="85">
        <v>882</v>
      </c>
      <c r="AU22" s="85">
        <v>1035</v>
      </c>
      <c r="AV22" s="85">
        <v>751</v>
      </c>
      <c r="AW22" s="85">
        <v>1081</v>
      </c>
      <c r="AX22" s="86">
        <v>902</v>
      </c>
      <c r="AY22" s="86">
        <v>1013</v>
      </c>
      <c r="AZ22" s="86">
        <v>989</v>
      </c>
      <c r="BA22" s="86">
        <v>1004</v>
      </c>
      <c r="BB22" s="86">
        <v>1076</v>
      </c>
      <c r="BC22" s="86">
        <v>987</v>
      </c>
      <c r="BD22" s="86">
        <v>832</v>
      </c>
      <c r="BE22" s="86">
        <v>689</v>
      </c>
      <c r="BF22" s="86">
        <v>641</v>
      </c>
      <c r="BG22" s="86">
        <v>849</v>
      </c>
      <c r="BH22" s="86">
        <v>708</v>
      </c>
      <c r="BI22" s="86">
        <v>519</v>
      </c>
      <c r="BJ22" s="86">
        <v>450</v>
      </c>
      <c r="BK22" s="86">
        <v>666</v>
      </c>
      <c r="BL22" s="86">
        <v>858</v>
      </c>
      <c r="BM22" s="86">
        <v>777</v>
      </c>
      <c r="BN22" s="86">
        <v>965</v>
      </c>
      <c r="BO22" s="86">
        <v>875</v>
      </c>
      <c r="BP22" s="86">
        <v>913</v>
      </c>
      <c r="BQ22" s="86">
        <v>680</v>
      </c>
      <c r="BR22" s="85">
        <v>547</v>
      </c>
      <c r="BS22" s="85">
        <v>627</v>
      </c>
      <c r="BT22" s="85">
        <v>551</v>
      </c>
      <c r="BU22" s="85">
        <v>712</v>
      </c>
      <c r="BV22" s="67">
        <v>1974</v>
      </c>
      <c r="BW22" s="67">
        <v>2617</v>
      </c>
      <c r="BX22" s="67">
        <v>2140</v>
      </c>
      <c r="BY22" s="67">
        <v>1890</v>
      </c>
      <c r="BZ22" s="68">
        <v>1910.1315010570825</v>
      </c>
      <c r="CA22" s="68">
        <v>1811.6560253699788</v>
      </c>
      <c r="CB22" s="68">
        <v>1713.1805496828752</v>
      </c>
      <c r="CC22" s="68">
        <v>1614.7050739957713</v>
      </c>
      <c r="CD22" s="68">
        <v>1516.2295983086678</v>
      </c>
      <c r="CE22" s="68">
        <v>1417.7541226215644</v>
      </c>
      <c r="CF22" s="68">
        <v>1319.2786469344608</v>
      </c>
      <c r="CG22" s="68">
        <v>1220.8031712473571</v>
      </c>
      <c r="CH22" s="87">
        <v>394600</v>
      </c>
      <c r="CI22" s="467">
        <v>398213</v>
      </c>
      <c r="CJ22" s="467">
        <v>400130.75400000036</v>
      </c>
      <c r="CK22" s="467">
        <v>403161.81900000008</v>
      </c>
      <c r="CL22" s="468">
        <v>406283.40600000019</v>
      </c>
      <c r="CM22" s="19" t="s">
        <v>86</v>
      </c>
      <c r="CN22" s="70">
        <v>600</v>
      </c>
      <c r="CO22" s="70">
        <v>575</v>
      </c>
      <c r="CP22" s="70">
        <v>505</v>
      </c>
      <c r="CQ22" s="70">
        <v>513</v>
      </c>
      <c r="CR22" s="70">
        <v>475</v>
      </c>
      <c r="CS22" s="70">
        <v>586</v>
      </c>
      <c r="CT22" s="70">
        <v>613</v>
      </c>
      <c r="CU22" s="70">
        <v>585</v>
      </c>
      <c r="CV22" s="70">
        <v>633</v>
      </c>
      <c r="CW22" s="70">
        <v>573</v>
      </c>
      <c r="CX22" s="70">
        <v>539</v>
      </c>
      <c r="CY22" s="70">
        <v>571</v>
      </c>
      <c r="CZ22" s="70">
        <v>505</v>
      </c>
      <c r="DA22" s="70">
        <v>548</v>
      </c>
      <c r="DB22" s="70">
        <v>501</v>
      </c>
      <c r="DC22" s="70">
        <v>511</v>
      </c>
      <c r="DD22" s="70">
        <v>531</v>
      </c>
      <c r="DE22" s="70">
        <v>518</v>
      </c>
      <c r="DF22" s="70">
        <v>561</v>
      </c>
      <c r="DG22" s="70">
        <v>635</v>
      </c>
      <c r="DH22" s="70">
        <v>751</v>
      </c>
      <c r="DI22" s="70">
        <v>649</v>
      </c>
      <c r="DJ22" s="70">
        <v>557</v>
      </c>
      <c r="DK22" s="70">
        <v>569</v>
      </c>
      <c r="DL22" s="46">
        <v>534</v>
      </c>
      <c r="DM22" s="46">
        <v>522</v>
      </c>
      <c r="DN22" s="46">
        <v>477</v>
      </c>
      <c r="DO22" s="46">
        <v>502</v>
      </c>
      <c r="DP22" s="46">
        <v>504</v>
      </c>
      <c r="DQ22" s="46">
        <v>544</v>
      </c>
      <c r="DR22" s="46">
        <v>579</v>
      </c>
      <c r="DS22" s="46">
        <v>621</v>
      </c>
      <c r="DT22" s="46">
        <v>738</v>
      </c>
      <c r="DU22" s="46">
        <v>630</v>
      </c>
      <c r="DV22" s="46">
        <v>632</v>
      </c>
      <c r="DW22" s="46">
        <v>625</v>
      </c>
      <c r="DX22" s="46">
        <v>649</v>
      </c>
      <c r="DY22" s="46">
        <v>625</v>
      </c>
      <c r="DZ22" s="46">
        <v>579</v>
      </c>
      <c r="EA22" s="46">
        <v>603</v>
      </c>
      <c r="EB22" s="46">
        <v>504</v>
      </c>
      <c r="EC22" s="46">
        <v>510</v>
      </c>
      <c r="ED22" s="46">
        <v>635</v>
      </c>
      <c r="EE22" s="46">
        <v>642</v>
      </c>
      <c r="EF22" s="46">
        <v>775</v>
      </c>
      <c r="EG22" s="46">
        <v>623</v>
      </c>
      <c r="EH22" s="46">
        <v>516</v>
      </c>
      <c r="EI22" s="46">
        <v>612</v>
      </c>
      <c r="EJ22" s="46">
        <v>576</v>
      </c>
      <c r="EK22" s="46">
        <v>598</v>
      </c>
      <c r="EL22" s="46">
        <v>518</v>
      </c>
      <c r="EM22" s="46">
        <v>563</v>
      </c>
      <c r="EN22" s="46">
        <v>497</v>
      </c>
      <c r="EO22" s="46">
        <v>516</v>
      </c>
      <c r="EP22" s="46">
        <v>547</v>
      </c>
      <c r="EQ22" s="46">
        <v>653</v>
      </c>
      <c r="ER22" s="46">
        <v>771</v>
      </c>
      <c r="ES22" s="46">
        <v>575</v>
      </c>
      <c r="ET22" s="46">
        <v>1751</v>
      </c>
      <c r="EU22" s="46">
        <v>1692</v>
      </c>
      <c r="EV22" s="46">
        <v>1576</v>
      </c>
      <c r="EW22" s="46">
        <v>1971</v>
      </c>
      <c r="EX22" s="71">
        <v>1831.534375096127</v>
      </c>
      <c r="EY22" s="71">
        <v>1840.179457996247</v>
      </c>
      <c r="EZ22" s="71">
        <v>1848.8245408963671</v>
      </c>
      <c r="FA22" s="71">
        <v>1857.469623796487</v>
      </c>
      <c r="FB22" s="71">
        <v>1866.1147066966068</v>
      </c>
      <c r="FC22" s="71">
        <v>1874.7597895967267</v>
      </c>
      <c r="FD22" s="71">
        <v>1883.404872496847</v>
      </c>
      <c r="FE22" s="71">
        <v>1892.0499553969667</v>
      </c>
      <c r="FF22" s="72">
        <v>506550</v>
      </c>
      <c r="FG22" s="72">
        <v>511488</v>
      </c>
      <c r="FH22" s="476">
        <v>516096</v>
      </c>
      <c r="FI22" s="476">
        <v>518468.78800000006</v>
      </c>
      <c r="FJ22" s="476">
        <v>522287.36800000002</v>
      </c>
      <c r="FK22" s="476">
        <v>526356.027</v>
      </c>
    </row>
    <row r="23" spans="1:167">
      <c r="A23" s="73" t="s">
        <v>913</v>
      </c>
      <c r="B23" s="19" t="s">
        <v>914</v>
      </c>
      <c r="C23" s="74" t="s">
        <v>668</v>
      </c>
      <c r="D23" s="75" t="s">
        <v>90</v>
      </c>
      <c r="E23" s="76">
        <v>255</v>
      </c>
      <c r="F23" s="77">
        <v>280</v>
      </c>
      <c r="G23" s="410">
        <v>225</v>
      </c>
      <c r="H23" s="78">
        <v>29805</v>
      </c>
      <c r="I23" s="77">
        <v>31080</v>
      </c>
      <c r="J23" s="410">
        <v>31922</v>
      </c>
      <c r="K23" s="410">
        <v>32720.036000000007</v>
      </c>
      <c r="L23" s="418">
        <v>33453.204000000005</v>
      </c>
      <c r="M23" s="79">
        <v>852.1</v>
      </c>
      <c r="N23" s="80">
        <v>900.9</v>
      </c>
      <c r="O23" s="421">
        <v>720.7</v>
      </c>
      <c r="P23" s="71">
        <v>265</v>
      </c>
      <c r="Q23" s="75" t="s">
        <v>90</v>
      </c>
      <c r="R23" s="81">
        <v>245</v>
      </c>
      <c r="S23" s="77">
        <v>165</v>
      </c>
      <c r="T23" s="452">
        <v>90</v>
      </c>
      <c r="U23" s="77">
        <v>285</v>
      </c>
      <c r="V23" s="77">
        <v>195</v>
      </c>
      <c r="W23" s="452">
        <v>115</v>
      </c>
      <c r="X23" s="82">
        <v>86.7</v>
      </c>
      <c r="Y23" s="83">
        <v>84.5</v>
      </c>
      <c r="Z23" s="443">
        <v>81.400000000000006</v>
      </c>
      <c r="AA23" s="63">
        <v>168</v>
      </c>
      <c r="AB23" s="63">
        <v>195</v>
      </c>
      <c r="AC23" s="19" t="s">
        <v>90</v>
      </c>
      <c r="AD23" s="84">
        <v>237</v>
      </c>
      <c r="AE23" s="85">
        <v>244</v>
      </c>
      <c r="AF23" s="85">
        <v>253</v>
      </c>
      <c r="AG23" s="85">
        <v>296</v>
      </c>
      <c r="AH23" s="85">
        <v>228</v>
      </c>
      <c r="AI23" s="85">
        <v>244</v>
      </c>
      <c r="AJ23" s="85">
        <v>305</v>
      </c>
      <c r="AK23" s="85">
        <v>407</v>
      </c>
      <c r="AL23" s="85">
        <v>266</v>
      </c>
      <c r="AM23" s="85">
        <v>183</v>
      </c>
      <c r="AN23" s="85">
        <v>203</v>
      </c>
      <c r="AO23" s="85">
        <v>160</v>
      </c>
      <c r="AP23" s="85">
        <v>245</v>
      </c>
      <c r="AQ23" s="85">
        <v>206</v>
      </c>
      <c r="AR23" s="85">
        <v>94</v>
      </c>
      <c r="AS23" s="85">
        <v>162</v>
      </c>
      <c r="AT23" s="85">
        <v>207</v>
      </c>
      <c r="AU23" s="85">
        <v>260</v>
      </c>
      <c r="AV23" s="85">
        <v>144</v>
      </c>
      <c r="AW23" s="85">
        <v>299</v>
      </c>
      <c r="AX23" s="86">
        <v>255</v>
      </c>
      <c r="AY23" s="86">
        <v>196</v>
      </c>
      <c r="AZ23" s="86">
        <v>191</v>
      </c>
      <c r="BA23" s="86">
        <v>190</v>
      </c>
      <c r="BB23" s="86">
        <v>209</v>
      </c>
      <c r="BC23" s="86">
        <v>171</v>
      </c>
      <c r="BD23" s="86">
        <v>138</v>
      </c>
      <c r="BE23" s="86">
        <v>108</v>
      </c>
      <c r="BF23" s="86">
        <v>209</v>
      </c>
      <c r="BG23" s="86">
        <v>207</v>
      </c>
      <c r="BH23" s="86">
        <v>171</v>
      </c>
      <c r="BI23" s="86">
        <v>139</v>
      </c>
      <c r="BJ23" s="86">
        <v>127</v>
      </c>
      <c r="BK23" s="86">
        <v>126</v>
      </c>
      <c r="BL23" s="86">
        <v>133</v>
      </c>
      <c r="BM23" s="86">
        <v>51</v>
      </c>
      <c r="BN23" s="86">
        <v>82</v>
      </c>
      <c r="BO23" s="86">
        <v>156</v>
      </c>
      <c r="BP23" s="86">
        <v>72</v>
      </c>
      <c r="BQ23" s="86">
        <v>132</v>
      </c>
      <c r="BR23" s="85">
        <v>198</v>
      </c>
      <c r="BS23" s="85">
        <v>189</v>
      </c>
      <c r="BT23" s="85">
        <v>192</v>
      </c>
      <c r="BU23" s="85">
        <v>290</v>
      </c>
      <c r="BV23" s="67">
        <v>386</v>
      </c>
      <c r="BW23" s="67">
        <v>289</v>
      </c>
      <c r="BX23" s="67">
        <v>402</v>
      </c>
      <c r="BY23" s="67">
        <v>671</v>
      </c>
      <c r="BZ23" s="68">
        <v>378.35095137420706</v>
      </c>
      <c r="CA23" s="68">
        <v>352.01374207188155</v>
      </c>
      <c r="CB23" s="68">
        <v>325.67653276955593</v>
      </c>
      <c r="CC23" s="68">
        <v>299.33932346723043</v>
      </c>
      <c r="CD23" s="68">
        <v>273.00211416490475</v>
      </c>
      <c r="CE23" s="68">
        <v>246.66490486257919</v>
      </c>
      <c r="CF23" s="68">
        <v>220.32769556025363</v>
      </c>
      <c r="CG23" s="68">
        <v>193.99048625792807</v>
      </c>
      <c r="CH23" s="87">
        <v>144000</v>
      </c>
      <c r="CI23" s="467">
        <v>144168</v>
      </c>
      <c r="CJ23" s="467">
        <v>145284.60299999994</v>
      </c>
      <c r="CK23" s="467">
        <v>146057.28599999993</v>
      </c>
      <c r="CL23" s="468">
        <v>146812.58100000009</v>
      </c>
      <c r="CM23" s="19" t="s">
        <v>90</v>
      </c>
      <c r="CN23" s="70">
        <v>392</v>
      </c>
      <c r="CO23" s="70">
        <v>378</v>
      </c>
      <c r="CP23" s="70">
        <v>350</v>
      </c>
      <c r="CQ23" s="70">
        <v>352</v>
      </c>
      <c r="CR23" s="70">
        <v>303</v>
      </c>
      <c r="CS23" s="70">
        <v>345</v>
      </c>
      <c r="CT23" s="70">
        <v>433</v>
      </c>
      <c r="CU23" s="70">
        <v>417</v>
      </c>
      <c r="CV23" s="70">
        <v>382</v>
      </c>
      <c r="CW23" s="70">
        <v>340</v>
      </c>
      <c r="CX23" s="70">
        <v>393</v>
      </c>
      <c r="CY23" s="70">
        <v>423</v>
      </c>
      <c r="CZ23" s="70">
        <v>379</v>
      </c>
      <c r="DA23" s="70">
        <v>421</v>
      </c>
      <c r="DB23" s="70">
        <v>371</v>
      </c>
      <c r="DC23" s="70">
        <v>343</v>
      </c>
      <c r="DD23" s="70">
        <v>316</v>
      </c>
      <c r="DE23" s="70">
        <v>349</v>
      </c>
      <c r="DF23" s="70">
        <v>406</v>
      </c>
      <c r="DG23" s="70">
        <v>455</v>
      </c>
      <c r="DH23" s="70">
        <v>550</v>
      </c>
      <c r="DI23" s="70">
        <v>450</v>
      </c>
      <c r="DJ23" s="70">
        <v>409</v>
      </c>
      <c r="DK23" s="70">
        <v>481</v>
      </c>
      <c r="DL23" s="46">
        <v>464</v>
      </c>
      <c r="DM23" s="46">
        <v>377</v>
      </c>
      <c r="DN23" s="46">
        <v>358</v>
      </c>
      <c r="DO23" s="46">
        <v>406</v>
      </c>
      <c r="DP23" s="46">
        <v>372</v>
      </c>
      <c r="DQ23" s="46">
        <v>381</v>
      </c>
      <c r="DR23" s="46">
        <v>437</v>
      </c>
      <c r="DS23" s="46">
        <v>493</v>
      </c>
      <c r="DT23" s="46">
        <v>483</v>
      </c>
      <c r="DU23" s="46">
        <v>489</v>
      </c>
      <c r="DV23" s="46">
        <v>491</v>
      </c>
      <c r="DW23" s="46">
        <v>490</v>
      </c>
      <c r="DX23" s="46">
        <v>481</v>
      </c>
      <c r="DY23" s="46">
        <v>464</v>
      </c>
      <c r="DZ23" s="46">
        <v>418</v>
      </c>
      <c r="EA23" s="46">
        <v>450</v>
      </c>
      <c r="EB23" s="46">
        <v>407</v>
      </c>
      <c r="EC23" s="46">
        <v>442</v>
      </c>
      <c r="ED23" s="46">
        <v>593</v>
      </c>
      <c r="EE23" s="46">
        <v>538</v>
      </c>
      <c r="EF23" s="46">
        <v>533</v>
      </c>
      <c r="EG23" s="46">
        <v>448</v>
      </c>
      <c r="EH23" s="46">
        <v>408</v>
      </c>
      <c r="EI23" s="46">
        <v>462</v>
      </c>
      <c r="EJ23" s="46">
        <v>437</v>
      </c>
      <c r="EK23" s="46">
        <v>384</v>
      </c>
      <c r="EL23" s="46">
        <v>370</v>
      </c>
      <c r="EM23" s="46">
        <v>400</v>
      </c>
      <c r="EN23" s="46">
        <v>343</v>
      </c>
      <c r="EO23" s="46">
        <v>395</v>
      </c>
      <c r="EP23" s="46">
        <v>391</v>
      </c>
      <c r="EQ23" s="46">
        <v>421</v>
      </c>
      <c r="ER23" s="46">
        <v>492</v>
      </c>
      <c r="ES23" s="46">
        <v>406</v>
      </c>
      <c r="ET23" s="46">
        <v>1318</v>
      </c>
      <c r="EU23" s="46">
        <v>1191</v>
      </c>
      <c r="EV23" s="46">
        <v>1138</v>
      </c>
      <c r="EW23" s="46">
        <v>1304</v>
      </c>
      <c r="EX23" s="71">
        <v>1390.8012550370668</v>
      </c>
      <c r="EY23" s="71">
        <v>1402.8656679688702</v>
      </c>
      <c r="EZ23" s="71">
        <v>1414.9300809006736</v>
      </c>
      <c r="FA23" s="71">
        <v>1426.9944938324772</v>
      </c>
      <c r="FB23" s="71">
        <v>1439.0589067642807</v>
      </c>
      <c r="FC23" s="71">
        <v>1451.1233196960841</v>
      </c>
      <c r="FD23" s="71">
        <v>1463.1877326278877</v>
      </c>
      <c r="FE23" s="71">
        <v>1475.2521455596911</v>
      </c>
      <c r="FF23" s="72">
        <v>185422</v>
      </c>
      <c r="FG23" s="72">
        <v>186199</v>
      </c>
      <c r="FH23" s="476">
        <v>186527</v>
      </c>
      <c r="FI23" s="476">
        <v>187921.946</v>
      </c>
      <c r="FJ23" s="476">
        <v>188909.90400000001</v>
      </c>
      <c r="FK23" s="476">
        <v>189943.69500000001</v>
      </c>
    </row>
    <row r="24" spans="1:167">
      <c r="A24" s="73" t="s">
        <v>920</v>
      </c>
      <c r="B24" s="19" t="s">
        <v>921</v>
      </c>
      <c r="C24" s="74" t="s">
        <v>669</v>
      </c>
      <c r="D24" s="75" t="s">
        <v>94</v>
      </c>
      <c r="E24" s="76">
        <v>245</v>
      </c>
      <c r="F24" s="77">
        <v>200</v>
      </c>
      <c r="G24" s="410">
        <v>230</v>
      </c>
      <c r="H24" s="78">
        <v>32725</v>
      </c>
      <c r="I24" s="77">
        <v>34140</v>
      </c>
      <c r="J24" s="410">
        <v>35256</v>
      </c>
      <c r="K24" s="410">
        <v>36214.811000000002</v>
      </c>
      <c r="L24" s="418">
        <v>37127.326000000001</v>
      </c>
      <c r="M24" s="79">
        <v>745.6</v>
      </c>
      <c r="N24" s="80">
        <v>585.79999999999995</v>
      </c>
      <c r="O24" s="421">
        <v>667.8</v>
      </c>
      <c r="P24" s="71">
        <v>214</v>
      </c>
      <c r="Q24" s="75" t="s">
        <v>94</v>
      </c>
      <c r="R24" s="81">
        <v>75</v>
      </c>
      <c r="S24" s="77">
        <v>55</v>
      </c>
      <c r="T24" s="452">
        <v>45</v>
      </c>
      <c r="U24" s="77">
        <v>95</v>
      </c>
      <c r="V24" s="77">
        <v>80</v>
      </c>
      <c r="W24" s="452">
        <v>65</v>
      </c>
      <c r="X24" s="82">
        <v>79.2</v>
      </c>
      <c r="Y24" s="83">
        <v>70</v>
      </c>
      <c r="Z24" s="443">
        <v>71.900000000000006</v>
      </c>
      <c r="AA24" s="63">
        <v>255</v>
      </c>
      <c r="AB24" s="63">
        <v>320</v>
      </c>
      <c r="AC24" s="19" t="s">
        <v>94</v>
      </c>
      <c r="AD24" s="84">
        <v>288</v>
      </c>
      <c r="AE24" s="85">
        <v>313</v>
      </c>
      <c r="AF24" s="85">
        <v>470</v>
      </c>
      <c r="AG24" s="85">
        <v>321</v>
      </c>
      <c r="AH24" s="85">
        <v>193</v>
      </c>
      <c r="AI24" s="85">
        <v>272</v>
      </c>
      <c r="AJ24" s="85">
        <v>346</v>
      </c>
      <c r="AK24" s="85">
        <v>154</v>
      </c>
      <c r="AL24" s="85">
        <v>147</v>
      </c>
      <c r="AM24" s="85">
        <v>192</v>
      </c>
      <c r="AN24" s="85">
        <v>152</v>
      </c>
      <c r="AO24" s="85">
        <v>100</v>
      </c>
      <c r="AP24" s="85">
        <v>116</v>
      </c>
      <c r="AQ24" s="85">
        <v>206</v>
      </c>
      <c r="AR24" s="85">
        <v>246</v>
      </c>
      <c r="AS24" s="85">
        <v>185</v>
      </c>
      <c r="AT24" s="85">
        <v>131</v>
      </c>
      <c r="AU24" s="85">
        <v>137</v>
      </c>
      <c r="AV24" s="85">
        <v>69</v>
      </c>
      <c r="AW24" s="85">
        <v>468</v>
      </c>
      <c r="AX24" s="86">
        <v>593</v>
      </c>
      <c r="AY24" s="86">
        <v>391</v>
      </c>
      <c r="AZ24" s="86">
        <v>759</v>
      </c>
      <c r="BA24" s="86">
        <v>569</v>
      </c>
      <c r="BB24" s="86">
        <v>704</v>
      </c>
      <c r="BC24" s="86">
        <v>587</v>
      </c>
      <c r="BD24" s="86">
        <v>625</v>
      </c>
      <c r="BE24" s="86">
        <v>486</v>
      </c>
      <c r="BF24" s="86">
        <v>446</v>
      </c>
      <c r="BG24" s="86">
        <v>586</v>
      </c>
      <c r="BH24" s="86">
        <v>715</v>
      </c>
      <c r="BI24" s="86">
        <v>847</v>
      </c>
      <c r="BJ24" s="86">
        <v>752</v>
      </c>
      <c r="BK24" s="86">
        <v>969</v>
      </c>
      <c r="BL24" s="86">
        <v>787</v>
      </c>
      <c r="BM24" s="86">
        <v>776</v>
      </c>
      <c r="BN24" s="86">
        <v>768</v>
      </c>
      <c r="BO24" s="86">
        <v>524</v>
      </c>
      <c r="BP24" s="86">
        <v>694</v>
      </c>
      <c r="BQ24" s="86">
        <v>657</v>
      </c>
      <c r="BR24" s="85">
        <v>626</v>
      </c>
      <c r="BS24" s="85">
        <v>637</v>
      </c>
      <c r="BT24" s="85">
        <v>594</v>
      </c>
      <c r="BU24" s="85">
        <v>551</v>
      </c>
      <c r="BV24" s="67">
        <v>2508</v>
      </c>
      <c r="BW24" s="67">
        <v>2068</v>
      </c>
      <c r="BX24" s="67">
        <v>1977</v>
      </c>
      <c r="BY24" s="67">
        <v>1782</v>
      </c>
      <c r="BZ24" s="68">
        <v>2381.8262156448204</v>
      </c>
      <c r="CA24" s="68">
        <v>2510.5109936575054</v>
      </c>
      <c r="CB24" s="68">
        <v>2639.1957716701909</v>
      </c>
      <c r="CC24" s="68">
        <v>2767.8805496828754</v>
      </c>
      <c r="CD24" s="68">
        <v>2896.5653276955609</v>
      </c>
      <c r="CE24" s="68">
        <v>3025.2501057082459</v>
      </c>
      <c r="CF24" s="68">
        <v>3153.9348837209304</v>
      </c>
      <c r="CG24" s="68">
        <v>3282.6196617336154</v>
      </c>
      <c r="CH24" s="87">
        <v>159700</v>
      </c>
      <c r="CI24" s="467">
        <v>160676</v>
      </c>
      <c r="CJ24" s="467">
        <v>161892.12600000002</v>
      </c>
      <c r="CK24" s="467">
        <v>162994.40199999997</v>
      </c>
      <c r="CL24" s="468">
        <v>164090.11900000006</v>
      </c>
      <c r="CM24" s="19" t="s">
        <v>94</v>
      </c>
      <c r="CN24" s="70">
        <v>391</v>
      </c>
      <c r="CO24" s="70">
        <v>393</v>
      </c>
      <c r="CP24" s="70">
        <v>350</v>
      </c>
      <c r="CQ24" s="70">
        <v>323</v>
      </c>
      <c r="CR24" s="70">
        <v>340</v>
      </c>
      <c r="CS24" s="70">
        <v>358</v>
      </c>
      <c r="CT24" s="70">
        <v>420</v>
      </c>
      <c r="CU24" s="70">
        <v>440</v>
      </c>
      <c r="CV24" s="70">
        <v>458</v>
      </c>
      <c r="CW24" s="70">
        <v>392</v>
      </c>
      <c r="CX24" s="70">
        <v>422</v>
      </c>
      <c r="CY24" s="70">
        <v>443</v>
      </c>
      <c r="CZ24" s="70">
        <v>408</v>
      </c>
      <c r="DA24" s="70">
        <v>419</v>
      </c>
      <c r="DB24" s="70">
        <v>368</v>
      </c>
      <c r="DC24" s="70">
        <v>340</v>
      </c>
      <c r="DD24" s="70">
        <v>344</v>
      </c>
      <c r="DE24" s="70">
        <v>336</v>
      </c>
      <c r="DF24" s="70">
        <v>414</v>
      </c>
      <c r="DG24" s="70">
        <v>399</v>
      </c>
      <c r="DH24" s="70">
        <v>555</v>
      </c>
      <c r="DI24" s="70">
        <v>506</v>
      </c>
      <c r="DJ24" s="70">
        <v>476</v>
      </c>
      <c r="DK24" s="70">
        <v>434</v>
      </c>
      <c r="DL24" s="46">
        <v>379</v>
      </c>
      <c r="DM24" s="46">
        <v>421</v>
      </c>
      <c r="DN24" s="46">
        <v>384</v>
      </c>
      <c r="DO24" s="46">
        <v>407</v>
      </c>
      <c r="DP24" s="46">
        <v>328</v>
      </c>
      <c r="DQ24" s="46">
        <v>374</v>
      </c>
      <c r="DR24" s="46">
        <v>442</v>
      </c>
      <c r="DS24" s="46">
        <v>471</v>
      </c>
      <c r="DT24" s="46">
        <v>510</v>
      </c>
      <c r="DU24" s="46">
        <v>466</v>
      </c>
      <c r="DV24" s="46">
        <v>483</v>
      </c>
      <c r="DW24" s="46">
        <v>417</v>
      </c>
      <c r="DX24" s="46">
        <v>443</v>
      </c>
      <c r="DY24" s="46">
        <v>451</v>
      </c>
      <c r="DZ24" s="46">
        <v>420</v>
      </c>
      <c r="EA24" s="46">
        <v>466</v>
      </c>
      <c r="EB24" s="46">
        <v>357</v>
      </c>
      <c r="EC24" s="46">
        <v>354</v>
      </c>
      <c r="ED24" s="46">
        <v>440</v>
      </c>
      <c r="EE24" s="46">
        <v>498</v>
      </c>
      <c r="EF24" s="46">
        <v>547</v>
      </c>
      <c r="EG24" s="46">
        <v>460</v>
      </c>
      <c r="EH24" s="46">
        <v>435</v>
      </c>
      <c r="EI24" s="46">
        <v>458</v>
      </c>
      <c r="EJ24" s="46">
        <v>490</v>
      </c>
      <c r="EK24" s="46">
        <v>461</v>
      </c>
      <c r="EL24" s="46">
        <v>413</v>
      </c>
      <c r="EM24" s="46">
        <v>364</v>
      </c>
      <c r="EN24" s="46">
        <v>322</v>
      </c>
      <c r="EO24" s="46">
        <v>398</v>
      </c>
      <c r="EP24" s="46">
        <v>443</v>
      </c>
      <c r="EQ24" s="46">
        <v>492</v>
      </c>
      <c r="ER24" s="46">
        <v>534</v>
      </c>
      <c r="ES24" s="46">
        <v>406</v>
      </c>
      <c r="ET24" s="46">
        <v>1353</v>
      </c>
      <c r="EU24" s="46">
        <v>1364</v>
      </c>
      <c r="EV24" s="46">
        <v>1084</v>
      </c>
      <c r="EW24" s="46">
        <v>1469</v>
      </c>
      <c r="EX24" s="71">
        <v>1379.7489003045312</v>
      </c>
      <c r="EY24" s="71">
        <v>1390.3108677596974</v>
      </c>
      <c r="EZ24" s="71">
        <v>1400.8728352148637</v>
      </c>
      <c r="FA24" s="71">
        <v>1411.43480267003</v>
      </c>
      <c r="FB24" s="71">
        <v>1421.9967701251962</v>
      </c>
      <c r="FC24" s="71">
        <v>1432.5587375803625</v>
      </c>
      <c r="FD24" s="71">
        <v>1443.1207050355285</v>
      </c>
      <c r="FE24" s="71">
        <v>1453.682672490695</v>
      </c>
      <c r="FF24" s="72">
        <v>204170</v>
      </c>
      <c r="FG24" s="72">
        <v>205293</v>
      </c>
      <c r="FH24" s="476">
        <v>206355</v>
      </c>
      <c r="FI24" s="476">
        <v>207806.25</v>
      </c>
      <c r="FJ24" s="476">
        <v>209112.87100000001</v>
      </c>
      <c r="FK24" s="476">
        <v>210447.98800000001</v>
      </c>
    </row>
    <row r="25" spans="1:167">
      <c r="A25" s="73" t="s">
        <v>928</v>
      </c>
      <c r="B25" s="19" t="s">
        <v>929</v>
      </c>
      <c r="C25" s="74" t="s">
        <v>670</v>
      </c>
      <c r="D25" s="75" t="s">
        <v>98</v>
      </c>
      <c r="E25" s="76">
        <v>770</v>
      </c>
      <c r="F25" s="77">
        <v>870</v>
      </c>
      <c r="G25" s="410">
        <v>780</v>
      </c>
      <c r="H25" s="78">
        <v>101350</v>
      </c>
      <c r="I25" s="77">
        <v>106235</v>
      </c>
      <c r="J25" s="410">
        <v>109840</v>
      </c>
      <c r="K25" s="410">
        <v>113677.80800000012</v>
      </c>
      <c r="L25" s="418">
        <v>116971.60700000002</v>
      </c>
      <c r="M25" s="79">
        <v>759.7</v>
      </c>
      <c r="N25" s="80">
        <v>819.9</v>
      </c>
      <c r="O25" s="421">
        <v>734.2</v>
      </c>
      <c r="P25" s="71">
        <v>735</v>
      </c>
      <c r="Q25" s="75" t="s">
        <v>98</v>
      </c>
      <c r="R25" s="81">
        <v>305</v>
      </c>
      <c r="S25" s="77">
        <v>335</v>
      </c>
      <c r="T25" s="452">
        <v>450</v>
      </c>
      <c r="U25" s="77">
        <v>370</v>
      </c>
      <c r="V25" s="77">
        <v>405</v>
      </c>
      <c r="W25" s="452">
        <v>540</v>
      </c>
      <c r="X25" s="82">
        <v>82.9</v>
      </c>
      <c r="Y25" s="83">
        <v>82.1</v>
      </c>
      <c r="Z25" s="443">
        <v>83.7</v>
      </c>
      <c r="AA25" s="63">
        <v>525</v>
      </c>
      <c r="AB25" s="63">
        <v>606</v>
      </c>
      <c r="AC25" s="19" t="s">
        <v>98</v>
      </c>
      <c r="AD25" s="84">
        <v>1930</v>
      </c>
      <c r="AE25" s="85">
        <v>2227</v>
      </c>
      <c r="AF25" s="85">
        <v>1654</v>
      </c>
      <c r="AG25" s="85">
        <v>1567</v>
      </c>
      <c r="AH25" s="85">
        <v>1738</v>
      </c>
      <c r="AI25" s="85">
        <v>2187</v>
      </c>
      <c r="AJ25" s="85">
        <v>1640</v>
      </c>
      <c r="AK25" s="85">
        <v>1604</v>
      </c>
      <c r="AL25" s="85">
        <v>1748</v>
      </c>
      <c r="AM25" s="85">
        <v>1915</v>
      </c>
      <c r="AN25" s="85">
        <v>2296</v>
      </c>
      <c r="AO25" s="85">
        <v>1837</v>
      </c>
      <c r="AP25" s="85">
        <v>1826</v>
      </c>
      <c r="AQ25" s="85">
        <v>2104</v>
      </c>
      <c r="AR25" s="85">
        <v>2439</v>
      </c>
      <c r="AS25" s="85">
        <v>2247</v>
      </c>
      <c r="AT25" s="85">
        <v>1621</v>
      </c>
      <c r="AU25" s="85">
        <v>2132</v>
      </c>
      <c r="AV25" s="85">
        <v>2150</v>
      </c>
      <c r="AW25" s="85">
        <v>2627</v>
      </c>
      <c r="AX25" s="86">
        <v>2176</v>
      </c>
      <c r="AY25" s="86">
        <v>2078</v>
      </c>
      <c r="AZ25" s="86">
        <v>2022</v>
      </c>
      <c r="BA25" s="86">
        <v>2752</v>
      </c>
      <c r="BB25" s="86">
        <v>3211</v>
      </c>
      <c r="BC25" s="86">
        <v>2835</v>
      </c>
      <c r="BD25" s="86">
        <v>2791</v>
      </c>
      <c r="BE25" s="86">
        <v>3157</v>
      </c>
      <c r="BF25" s="86">
        <v>2776</v>
      </c>
      <c r="BG25" s="86">
        <v>3030</v>
      </c>
      <c r="BH25" s="86">
        <v>2377</v>
      </c>
      <c r="BI25" s="86">
        <v>2903</v>
      </c>
      <c r="BJ25" s="86">
        <v>2651</v>
      </c>
      <c r="BK25" s="86">
        <v>2979</v>
      </c>
      <c r="BL25" s="86">
        <v>2065</v>
      </c>
      <c r="BM25" s="86">
        <v>1653</v>
      </c>
      <c r="BN25" s="86">
        <v>2195</v>
      </c>
      <c r="BO25" s="86">
        <v>2356</v>
      </c>
      <c r="BP25" s="86">
        <v>2305</v>
      </c>
      <c r="BQ25" s="86">
        <v>2197</v>
      </c>
      <c r="BR25" s="85">
        <v>2544</v>
      </c>
      <c r="BS25" s="85">
        <v>2423</v>
      </c>
      <c r="BT25" s="85">
        <v>2158</v>
      </c>
      <c r="BU25" s="85">
        <v>1971</v>
      </c>
      <c r="BV25" s="67">
        <v>7695</v>
      </c>
      <c r="BW25" s="67">
        <v>6204</v>
      </c>
      <c r="BX25" s="67">
        <v>7046</v>
      </c>
      <c r="BY25" s="67">
        <v>6552</v>
      </c>
      <c r="BZ25" s="68">
        <v>7906.1503171247359</v>
      </c>
      <c r="CA25" s="68">
        <v>8052.9257928118395</v>
      </c>
      <c r="CB25" s="68">
        <v>8199.7012684989422</v>
      </c>
      <c r="CC25" s="68">
        <v>8346.4767441860458</v>
      </c>
      <c r="CD25" s="68">
        <v>8493.2522198731494</v>
      </c>
      <c r="CE25" s="68">
        <v>8640.0276955602531</v>
      </c>
      <c r="CF25" s="68">
        <v>8786.8031712473567</v>
      </c>
      <c r="CG25" s="68">
        <v>8933.5786469344603</v>
      </c>
      <c r="CH25" s="87">
        <v>499300</v>
      </c>
      <c r="CI25" s="467">
        <v>502057</v>
      </c>
      <c r="CJ25" s="467">
        <v>507191.64999999985</v>
      </c>
      <c r="CK25" s="467">
        <v>511489.45999999979</v>
      </c>
      <c r="CL25" s="468">
        <v>516151.93300000002</v>
      </c>
      <c r="CM25" s="19" t="s">
        <v>98</v>
      </c>
      <c r="CN25" s="70">
        <v>815</v>
      </c>
      <c r="CO25" s="70">
        <v>764</v>
      </c>
      <c r="CP25" s="70">
        <v>807</v>
      </c>
      <c r="CQ25" s="70">
        <v>818</v>
      </c>
      <c r="CR25" s="70">
        <v>739</v>
      </c>
      <c r="CS25" s="70">
        <v>734</v>
      </c>
      <c r="CT25" s="70">
        <v>913</v>
      </c>
      <c r="CU25" s="70">
        <v>960</v>
      </c>
      <c r="CV25" s="70">
        <v>1044</v>
      </c>
      <c r="CW25" s="70">
        <v>934</v>
      </c>
      <c r="CX25" s="70">
        <v>814</v>
      </c>
      <c r="CY25" s="70">
        <v>865</v>
      </c>
      <c r="CZ25" s="70">
        <v>853</v>
      </c>
      <c r="DA25" s="70">
        <v>841</v>
      </c>
      <c r="DB25" s="70">
        <v>831</v>
      </c>
      <c r="DC25" s="70">
        <v>816</v>
      </c>
      <c r="DD25" s="70">
        <v>765</v>
      </c>
      <c r="DE25" s="70">
        <v>741</v>
      </c>
      <c r="DF25" s="70">
        <v>927</v>
      </c>
      <c r="DG25" s="70">
        <v>934</v>
      </c>
      <c r="DH25" s="70">
        <v>1225</v>
      </c>
      <c r="DI25" s="70">
        <v>957</v>
      </c>
      <c r="DJ25" s="70">
        <v>857</v>
      </c>
      <c r="DK25" s="70">
        <v>961</v>
      </c>
      <c r="DL25" s="46">
        <v>872</v>
      </c>
      <c r="DM25" s="46">
        <v>854</v>
      </c>
      <c r="DN25" s="46">
        <v>843</v>
      </c>
      <c r="DO25" s="46">
        <v>761</v>
      </c>
      <c r="DP25" s="46">
        <v>827</v>
      </c>
      <c r="DQ25" s="46">
        <v>806</v>
      </c>
      <c r="DR25" s="46">
        <v>871</v>
      </c>
      <c r="DS25" s="46">
        <v>937</v>
      </c>
      <c r="DT25" s="46">
        <v>1082</v>
      </c>
      <c r="DU25" s="46">
        <v>1024</v>
      </c>
      <c r="DV25" s="46">
        <v>985</v>
      </c>
      <c r="DW25" s="46">
        <v>910</v>
      </c>
      <c r="DX25" s="46">
        <v>957</v>
      </c>
      <c r="DY25" s="46">
        <v>973</v>
      </c>
      <c r="DZ25" s="46">
        <v>872</v>
      </c>
      <c r="EA25" s="46">
        <v>982</v>
      </c>
      <c r="EB25" s="46">
        <v>814</v>
      </c>
      <c r="EC25" s="46">
        <v>845</v>
      </c>
      <c r="ED25" s="46">
        <v>932</v>
      </c>
      <c r="EE25" s="46">
        <v>955</v>
      </c>
      <c r="EF25" s="46">
        <v>1107</v>
      </c>
      <c r="EG25" s="46">
        <v>965</v>
      </c>
      <c r="EH25" s="46">
        <v>846</v>
      </c>
      <c r="EI25" s="46">
        <v>1041</v>
      </c>
      <c r="EJ25" s="46">
        <v>1041</v>
      </c>
      <c r="EK25" s="46">
        <v>945</v>
      </c>
      <c r="EL25" s="46">
        <v>821</v>
      </c>
      <c r="EM25" s="46">
        <v>894</v>
      </c>
      <c r="EN25" s="46">
        <v>873</v>
      </c>
      <c r="EO25" s="46">
        <v>853</v>
      </c>
      <c r="EP25" s="46">
        <v>947</v>
      </c>
      <c r="EQ25" s="46">
        <v>979</v>
      </c>
      <c r="ER25" s="46">
        <v>1181</v>
      </c>
      <c r="ES25" s="46">
        <v>903</v>
      </c>
      <c r="ET25" s="46">
        <v>2852</v>
      </c>
      <c r="EU25" s="46">
        <v>2807</v>
      </c>
      <c r="EV25" s="46">
        <v>2620</v>
      </c>
      <c r="EW25" s="46">
        <v>3107</v>
      </c>
      <c r="EX25" s="71">
        <v>2949.5081977298596</v>
      </c>
      <c r="EY25" s="71">
        <v>2971.5227475468337</v>
      </c>
      <c r="EZ25" s="71">
        <v>2993.5372973638073</v>
      </c>
      <c r="FA25" s="71">
        <v>3015.5518471807809</v>
      </c>
      <c r="FB25" s="71">
        <v>3037.5663969977545</v>
      </c>
      <c r="FC25" s="71">
        <v>3059.5809468147286</v>
      </c>
      <c r="FD25" s="71">
        <v>3081.5954966317026</v>
      </c>
      <c r="FE25" s="71">
        <v>3103.6100464486758</v>
      </c>
      <c r="FF25" s="72">
        <v>622312</v>
      </c>
      <c r="FG25" s="72">
        <v>628339</v>
      </c>
      <c r="FH25" s="476">
        <v>632095</v>
      </c>
      <c r="FI25" s="476">
        <v>638354.30700000003</v>
      </c>
      <c r="FJ25" s="476">
        <v>643842.897</v>
      </c>
      <c r="FK25" s="476">
        <v>649681.321</v>
      </c>
    </row>
    <row r="26" spans="1:167">
      <c r="A26" s="73" t="s">
        <v>899</v>
      </c>
      <c r="B26" s="19" t="s">
        <v>900</v>
      </c>
      <c r="C26" s="74" t="s">
        <v>671</v>
      </c>
      <c r="D26" s="75" t="s">
        <v>102</v>
      </c>
      <c r="E26" s="76">
        <v>130</v>
      </c>
      <c r="F26" s="77">
        <v>115</v>
      </c>
      <c r="G26" s="410">
        <v>120</v>
      </c>
      <c r="H26" s="78">
        <v>24170</v>
      </c>
      <c r="I26" s="77">
        <v>25205</v>
      </c>
      <c r="J26" s="410">
        <v>26190</v>
      </c>
      <c r="K26" s="410">
        <v>26462.070000000003</v>
      </c>
      <c r="L26" s="418">
        <v>27045.902999999998</v>
      </c>
      <c r="M26" s="79">
        <v>529.6</v>
      </c>
      <c r="N26" s="80">
        <v>456.3</v>
      </c>
      <c r="O26" s="421">
        <v>468.2</v>
      </c>
      <c r="P26" s="71">
        <v>109.25</v>
      </c>
      <c r="Q26" s="75" t="s">
        <v>102</v>
      </c>
      <c r="R26" s="81">
        <v>205</v>
      </c>
      <c r="S26" s="77">
        <v>125</v>
      </c>
      <c r="T26" s="452">
        <v>80</v>
      </c>
      <c r="U26" s="77">
        <v>220</v>
      </c>
      <c r="V26" s="77">
        <v>140</v>
      </c>
      <c r="W26" s="452">
        <v>80</v>
      </c>
      <c r="X26" s="82">
        <v>93.6</v>
      </c>
      <c r="Y26" s="83">
        <v>92</v>
      </c>
      <c r="Z26" s="443">
        <v>97.6</v>
      </c>
      <c r="AA26" s="63">
        <v>129</v>
      </c>
      <c r="AB26" s="63">
        <v>138</v>
      </c>
      <c r="AC26" s="19" t="s">
        <v>102</v>
      </c>
      <c r="AD26" s="84">
        <v>191</v>
      </c>
      <c r="AE26" s="85">
        <v>110</v>
      </c>
      <c r="AF26" s="85">
        <v>142</v>
      </c>
      <c r="AG26" s="85">
        <v>136</v>
      </c>
      <c r="AH26" s="85">
        <v>121</v>
      </c>
      <c r="AI26" s="85">
        <v>181</v>
      </c>
      <c r="AJ26" s="85">
        <v>99</v>
      </c>
      <c r="AK26" s="85">
        <v>78</v>
      </c>
      <c r="AL26" s="85">
        <v>93</v>
      </c>
      <c r="AM26" s="85">
        <v>74</v>
      </c>
      <c r="AN26" s="85">
        <v>19</v>
      </c>
      <c r="AO26" s="85">
        <v>33</v>
      </c>
      <c r="AP26" s="85">
        <v>62</v>
      </c>
      <c r="AQ26" s="85">
        <v>128</v>
      </c>
      <c r="AR26" s="85">
        <v>145</v>
      </c>
      <c r="AS26" s="85">
        <v>148</v>
      </c>
      <c r="AT26" s="85">
        <v>88</v>
      </c>
      <c r="AU26" s="85">
        <v>32</v>
      </c>
      <c r="AV26" s="85">
        <v>79</v>
      </c>
      <c r="AW26" s="85">
        <v>31</v>
      </c>
      <c r="AX26" s="86">
        <v>148</v>
      </c>
      <c r="AY26" s="86">
        <v>166</v>
      </c>
      <c r="AZ26" s="86">
        <v>157</v>
      </c>
      <c r="BA26" s="86">
        <v>120</v>
      </c>
      <c r="BB26" s="86">
        <v>137</v>
      </c>
      <c r="BC26" s="86">
        <v>202</v>
      </c>
      <c r="BD26" s="86">
        <v>63</v>
      </c>
      <c r="BE26" s="86">
        <v>213</v>
      </c>
      <c r="BF26" s="86">
        <v>131</v>
      </c>
      <c r="BG26" s="86">
        <v>229</v>
      </c>
      <c r="BH26" s="86">
        <v>224</v>
      </c>
      <c r="BI26" s="86">
        <v>235</v>
      </c>
      <c r="BJ26" s="86">
        <v>480</v>
      </c>
      <c r="BK26" s="86">
        <v>421</v>
      </c>
      <c r="BL26" s="86">
        <v>211</v>
      </c>
      <c r="BM26" s="86">
        <v>243</v>
      </c>
      <c r="BN26" s="86">
        <v>310</v>
      </c>
      <c r="BO26" s="86">
        <v>280</v>
      </c>
      <c r="BP26" s="86">
        <v>201</v>
      </c>
      <c r="BQ26" s="86">
        <v>232</v>
      </c>
      <c r="BR26" s="85">
        <v>259</v>
      </c>
      <c r="BS26" s="85">
        <v>254</v>
      </c>
      <c r="BT26" s="85">
        <v>203</v>
      </c>
      <c r="BU26" s="85">
        <v>311</v>
      </c>
      <c r="BV26" s="67">
        <v>1112</v>
      </c>
      <c r="BW26" s="67">
        <v>833</v>
      </c>
      <c r="BX26" s="67">
        <v>692</v>
      </c>
      <c r="BY26" s="67">
        <v>768</v>
      </c>
      <c r="BZ26" s="68">
        <v>852.66575052854114</v>
      </c>
      <c r="CA26" s="68">
        <v>896.93255813953488</v>
      </c>
      <c r="CB26" s="68">
        <v>941.1993657505285</v>
      </c>
      <c r="CC26" s="68">
        <v>985.46617336152224</v>
      </c>
      <c r="CD26" s="68">
        <v>1029.7329809725161</v>
      </c>
      <c r="CE26" s="68">
        <v>1073.9997885835094</v>
      </c>
      <c r="CF26" s="68">
        <v>1118.2665961945031</v>
      </c>
      <c r="CG26" s="68">
        <v>1162.5334038054968</v>
      </c>
      <c r="CH26" s="87">
        <v>184200</v>
      </c>
      <c r="CI26" s="467">
        <v>187334</v>
      </c>
      <c r="CJ26" s="467">
        <v>189448.29699999999</v>
      </c>
      <c r="CK26" s="467">
        <v>192001.698</v>
      </c>
      <c r="CL26" s="468">
        <v>194830.14599999998</v>
      </c>
      <c r="CM26" s="19" t="s">
        <v>102</v>
      </c>
      <c r="CN26" s="70">
        <v>211</v>
      </c>
      <c r="CO26" s="70">
        <v>186</v>
      </c>
      <c r="CP26" s="70">
        <v>181</v>
      </c>
      <c r="CQ26" s="70">
        <v>165</v>
      </c>
      <c r="CR26" s="70">
        <v>173</v>
      </c>
      <c r="CS26" s="70">
        <v>179</v>
      </c>
      <c r="CT26" s="70">
        <v>206</v>
      </c>
      <c r="CU26" s="70">
        <v>194</v>
      </c>
      <c r="CV26" s="70">
        <v>243</v>
      </c>
      <c r="CW26" s="70">
        <v>228</v>
      </c>
      <c r="CX26" s="70">
        <v>271</v>
      </c>
      <c r="CY26" s="70">
        <v>290</v>
      </c>
      <c r="CZ26" s="70">
        <v>272</v>
      </c>
      <c r="DA26" s="70">
        <v>289</v>
      </c>
      <c r="DB26" s="70">
        <v>311</v>
      </c>
      <c r="DC26" s="70">
        <v>250</v>
      </c>
      <c r="DD26" s="70">
        <v>281</v>
      </c>
      <c r="DE26" s="70">
        <v>296</v>
      </c>
      <c r="DF26" s="70">
        <v>307</v>
      </c>
      <c r="DG26" s="70">
        <v>326</v>
      </c>
      <c r="DH26" s="70">
        <v>411</v>
      </c>
      <c r="DI26" s="70">
        <v>332</v>
      </c>
      <c r="DJ26" s="70">
        <v>283</v>
      </c>
      <c r="DK26" s="70">
        <v>299</v>
      </c>
      <c r="DL26" s="46">
        <v>258</v>
      </c>
      <c r="DM26" s="46">
        <v>290</v>
      </c>
      <c r="DN26" s="46">
        <v>283</v>
      </c>
      <c r="DO26" s="46">
        <v>260</v>
      </c>
      <c r="DP26" s="46">
        <v>272</v>
      </c>
      <c r="DQ26" s="46">
        <v>279</v>
      </c>
      <c r="DR26" s="46">
        <v>310</v>
      </c>
      <c r="DS26" s="46">
        <v>343</v>
      </c>
      <c r="DT26" s="46">
        <v>351</v>
      </c>
      <c r="DU26" s="46">
        <v>324</v>
      </c>
      <c r="DV26" s="46">
        <v>329</v>
      </c>
      <c r="DW26" s="46">
        <v>284</v>
      </c>
      <c r="DX26" s="46">
        <v>303</v>
      </c>
      <c r="DY26" s="46">
        <v>306</v>
      </c>
      <c r="DZ26" s="46">
        <v>299</v>
      </c>
      <c r="EA26" s="46">
        <v>314</v>
      </c>
      <c r="EB26" s="46">
        <v>290</v>
      </c>
      <c r="EC26" s="46">
        <v>309</v>
      </c>
      <c r="ED26" s="46">
        <v>345</v>
      </c>
      <c r="EE26" s="46">
        <v>349</v>
      </c>
      <c r="EF26" s="46">
        <v>352</v>
      </c>
      <c r="EG26" s="46">
        <v>301</v>
      </c>
      <c r="EH26" s="46">
        <v>296</v>
      </c>
      <c r="EI26" s="46">
        <v>303</v>
      </c>
      <c r="EJ26" s="46">
        <v>328</v>
      </c>
      <c r="EK26" s="46">
        <v>294</v>
      </c>
      <c r="EL26" s="46">
        <v>261</v>
      </c>
      <c r="EM26" s="46">
        <v>263</v>
      </c>
      <c r="EN26" s="46">
        <v>241</v>
      </c>
      <c r="EO26" s="46">
        <v>263</v>
      </c>
      <c r="EP26" s="46">
        <v>287</v>
      </c>
      <c r="EQ26" s="46">
        <v>283</v>
      </c>
      <c r="ER26" s="46">
        <v>273</v>
      </c>
      <c r="ES26" s="46">
        <v>224</v>
      </c>
      <c r="ET26" s="46">
        <v>900</v>
      </c>
      <c r="EU26" s="46">
        <v>883</v>
      </c>
      <c r="EV26" s="46">
        <v>767</v>
      </c>
      <c r="EW26" s="46">
        <v>843</v>
      </c>
      <c r="EX26" s="71">
        <v>971.5816850718262</v>
      </c>
      <c r="EY26" s="71">
        <v>983.67516687686475</v>
      </c>
      <c r="EZ26" s="71">
        <v>995.7686486819033</v>
      </c>
      <c r="FA26" s="71">
        <v>1007.8621304869421</v>
      </c>
      <c r="FB26" s="71">
        <v>1019.9556122919805</v>
      </c>
      <c r="FC26" s="71">
        <v>1032.0490940970194</v>
      </c>
      <c r="FD26" s="71">
        <v>1044.1425759020578</v>
      </c>
      <c r="FE26" s="71">
        <v>1056.2360577070963</v>
      </c>
      <c r="FF26" s="72">
        <v>220087</v>
      </c>
      <c r="FG26" s="72">
        <v>224962</v>
      </c>
      <c r="FH26" s="476">
        <v>229719</v>
      </c>
      <c r="FI26" s="476">
        <v>231468.38500000001</v>
      </c>
      <c r="FJ26" s="476">
        <v>234537.592</v>
      </c>
      <c r="FK26" s="476">
        <v>237956.45300000001</v>
      </c>
    </row>
    <row r="27" spans="1:167">
      <c r="A27" s="73" t="s">
        <v>905</v>
      </c>
      <c r="B27" s="19" t="s">
        <v>906</v>
      </c>
      <c r="C27" s="74" t="s">
        <v>672</v>
      </c>
      <c r="D27" s="75" t="s">
        <v>106</v>
      </c>
      <c r="E27" s="76">
        <v>270</v>
      </c>
      <c r="F27" s="77">
        <v>255</v>
      </c>
      <c r="G27" s="410">
        <v>225</v>
      </c>
      <c r="H27" s="78">
        <v>40275</v>
      </c>
      <c r="I27" s="77">
        <v>42465</v>
      </c>
      <c r="J27" s="410">
        <v>44151</v>
      </c>
      <c r="K27" s="410">
        <v>45697.658000000003</v>
      </c>
      <c r="L27" s="418">
        <v>47200.488999999994</v>
      </c>
      <c r="M27" s="79">
        <v>675.4</v>
      </c>
      <c r="N27" s="80">
        <v>602.9</v>
      </c>
      <c r="O27" s="421">
        <v>529.9</v>
      </c>
      <c r="P27" s="71">
        <v>236</v>
      </c>
      <c r="Q27" s="75" t="s">
        <v>106</v>
      </c>
      <c r="R27" s="81">
        <v>105</v>
      </c>
      <c r="S27" s="77">
        <v>75</v>
      </c>
      <c r="T27" s="452">
        <v>60</v>
      </c>
      <c r="U27" s="77">
        <v>155</v>
      </c>
      <c r="V27" s="77">
        <v>105</v>
      </c>
      <c r="W27" s="452">
        <v>80</v>
      </c>
      <c r="X27" s="82">
        <v>68.2</v>
      </c>
      <c r="Y27" s="83">
        <v>74</v>
      </c>
      <c r="Z27" s="443">
        <v>75</v>
      </c>
      <c r="AA27" s="63">
        <v>87</v>
      </c>
      <c r="AB27" s="63">
        <v>104</v>
      </c>
      <c r="AC27" s="19" t="s">
        <v>106</v>
      </c>
      <c r="AD27" s="84">
        <v>264</v>
      </c>
      <c r="AE27" s="85">
        <v>242</v>
      </c>
      <c r="AF27" s="85">
        <v>352</v>
      </c>
      <c r="AG27" s="85">
        <v>459</v>
      </c>
      <c r="AH27" s="85">
        <v>311</v>
      </c>
      <c r="AI27" s="85">
        <v>473</v>
      </c>
      <c r="AJ27" s="85">
        <v>237</v>
      </c>
      <c r="AK27" s="85">
        <v>200</v>
      </c>
      <c r="AL27" s="85">
        <v>240</v>
      </c>
      <c r="AM27" s="85">
        <v>261</v>
      </c>
      <c r="AN27" s="85">
        <v>475</v>
      </c>
      <c r="AO27" s="85">
        <v>305</v>
      </c>
      <c r="AP27" s="85">
        <v>496</v>
      </c>
      <c r="AQ27" s="85">
        <v>426</v>
      </c>
      <c r="AR27" s="85">
        <v>363</v>
      </c>
      <c r="AS27" s="85">
        <v>348</v>
      </c>
      <c r="AT27" s="85">
        <v>301</v>
      </c>
      <c r="AU27" s="85">
        <v>324</v>
      </c>
      <c r="AV27" s="85">
        <v>284</v>
      </c>
      <c r="AW27" s="85">
        <v>424</v>
      </c>
      <c r="AX27" s="86">
        <v>374</v>
      </c>
      <c r="AY27" s="86">
        <v>437</v>
      </c>
      <c r="AZ27" s="86">
        <v>302</v>
      </c>
      <c r="BA27" s="86">
        <v>335</v>
      </c>
      <c r="BB27" s="86">
        <v>334</v>
      </c>
      <c r="BC27" s="86">
        <v>248</v>
      </c>
      <c r="BD27" s="86">
        <v>326</v>
      </c>
      <c r="BE27" s="86">
        <v>317</v>
      </c>
      <c r="BF27" s="86">
        <v>314</v>
      </c>
      <c r="BG27" s="86">
        <v>494</v>
      </c>
      <c r="BH27" s="86">
        <v>475</v>
      </c>
      <c r="BI27" s="86">
        <v>485</v>
      </c>
      <c r="BJ27" s="86">
        <v>460</v>
      </c>
      <c r="BK27" s="86">
        <v>508</v>
      </c>
      <c r="BL27" s="86">
        <v>350</v>
      </c>
      <c r="BM27" s="86">
        <v>323</v>
      </c>
      <c r="BN27" s="86">
        <v>168</v>
      </c>
      <c r="BO27" s="86">
        <v>145</v>
      </c>
      <c r="BP27" s="86">
        <v>176</v>
      </c>
      <c r="BQ27" s="86">
        <v>177</v>
      </c>
      <c r="BR27" s="85">
        <v>31</v>
      </c>
      <c r="BS27" s="85">
        <v>485</v>
      </c>
      <c r="BT27" s="85">
        <v>232</v>
      </c>
      <c r="BU27" s="85">
        <v>474</v>
      </c>
      <c r="BV27" s="67">
        <v>1318</v>
      </c>
      <c r="BW27" s="67">
        <v>636</v>
      </c>
      <c r="BX27" s="67">
        <v>384</v>
      </c>
      <c r="BY27" s="67">
        <v>1191</v>
      </c>
      <c r="BZ27" s="68">
        <v>954.18858350951371</v>
      </c>
      <c r="CA27" s="68">
        <v>947.57145877378423</v>
      </c>
      <c r="CB27" s="68">
        <v>940.95433403805487</v>
      </c>
      <c r="CC27" s="68">
        <v>934.33720930232539</v>
      </c>
      <c r="CD27" s="68">
        <v>927.72008456659614</v>
      </c>
      <c r="CE27" s="68">
        <v>921.10295983086667</v>
      </c>
      <c r="CF27" s="68">
        <v>914.48583509513742</v>
      </c>
      <c r="CG27" s="68">
        <v>907.86871035940806</v>
      </c>
      <c r="CH27" s="87">
        <v>202800</v>
      </c>
      <c r="CI27" s="467">
        <v>206519</v>
      </c>
      <c r="CJ27" s="467">
        <v>208202.31099999999</v>
      </c>
      <c r="CK27" s="467">
        <v>210951.93299999999</v>
      </c>
      <c r="CL27" s="468">
        <v>213638.4010000001</v>
      </c>
      <c r="CM27" s="19" t="s">
        <v>106</v>
      </c>
      <c r="CN27" s="70">
        <v>334</v>
      </c>
      <c r="CO27" s="70">
        <v>290</v>
      </c>
      <c r="CP27" s="70">
        <v>346</v>
      </c>
      <c r="CQ27" s="70">
        <v>301</v>
      </c>
      <c r="CR27" s="70">
        <v>292</v>
      </c>
      <c r="CS27" s="70">
        <v>307</v>
      </c>
      <c r="CT27" s="70">
        <v>312</v>
      </c>
      <c r="CU27" s="70">
        <v>351</v>
      </c>
      <c r="CV27" s="70">
        <v>410</v>
      </c>
      <c r="CW27" s="70">
        <v>361</v>
      </c>
      <c r="CX27" s="70">
        <v>323</v>
      </c>
      <c r="CY27" s="70">
        <v>430</v>
      </c>
      <c r="CZ27" s="70">
        <v>352</v>
      </c>
      <c r="DA27" s="70">
        <v>358</v>
      </c>
      <c r="DB27" s="70">
        <v>300</v>
      </c>
      <c r="DC27" s="70">
        <v>341</v>
      </c>
      <c r="DD27" s="70">
        <v>305</v>
      </c>
      <c r="DE27" s="70">
        <v>369</v>
      </c>
      <c r="DF27" s="70">
        <v>375</v>
      </c>
      <c r="DG27" s="70">
        <v>387</v>
      </c>
      <c r="DH27" s="70">
        <v>435</v>
      </c>
      <c r="DI27" s="70">
        <v>401</v>
      </c>
      <c r="DJ27" s="70">
        <v>350</v>
      </c>
      <c r="DK27" s="70">
        <v>395</v>
      </c>
      <c r="DL27" s="46">
        <v>367</v>
      </c>
      <c r="DM27" s="46">
        <v>340</v>
      </c>
      <c r="DN27" s="46">
        <v>362</v>
      </c>
      <c r="DO27" s="46">
        <v>338</v>
      </c>
      <c r="DP27" s="46">
        <v>327</v>
      </c>
      <c r="DQ27" s="46">
        <v>318</v>
      </c>
      <c r="DR27" s="46">
        <v>360</v>
      </c>
      <c r="DS27" s="46">
        <v>361</v>
      </c>
      <c r="DT27" s="46">
        <v>476</v>
      </c>
      <c r="DU27" s="46">
        <v>388</v>
      </c>
      <c r="DV27" s="46">
        <v>416</v>
      </c>
      <c r="DW27" s="46">
        <v>393</v>
      </c>
      <c r="DX27" s="46">
        <v>376</v>
      </c>
      <c r="DY27" s="46">
        <v>384</v>
      </c>
      <c r="DZ27" s="46">
        <v>375</v>
      </c>
      <c r="EA27" s="46">
        <v>380</v>
      </c>
      <c r="EB27" s="46">
        <v>361</v>
      </c>
      <c r="EC27" s="46">
        <v>368</v>
      </c>
      <c r="ED27" s="46">
        <v>424</v>
      </c>
      <c r="EE27" s="46">
        <v>408</v>
      </c>
      <c r="EF27" s="46">
        <v>425</v>
      </c>
      <c r="EG27" s="46">
        <v>416</v>
      </c>
      <c r="EH27" s="46">
        <v>347</v>
      </c>
      <c r="EI27" s="46">
        <v>450</v>
      </c>
      <c r="EJ27" s="46">
        <v>446</v>
      </c>
      <c r="EK27" s="46">
        <v>411</v>
      </c>
      <c r="EL27" s="46">
        <v>358</v>
      </c>
      <c r="EM27" s="46">
        <v>348</v>
      </c>
      <c r="EN27" s="46">
        <v>338</v>
      </c>
      <c r="EO27" s="46">
        <v>333</v>
      </c>
      <c r="EP27" s="46">
        <v>403</v>
      </c>
      <c r="EQ27" s="46">
        <v>427</v>
      </c>
      <c r="ER27" s="46">
        <v>482</v>
      </c>
      <c r="ES27" s="46">
        <v>359</v>
      </c>
      <c r="ET27" s="46">
        <v>1213</v>
      </c>
      <c r="EU27" s="46">
        <v>1215</v>
      </c>
      <c r="EV27" s="46">
        <v>1019</v>
      </c>
      <c r="EW27" s="46">
        <v>1312</v>
      </c>
      <c r="EX27" s="71">
        <v>1242.2795225937434</v>
      </c>
      <c r="EY27" s="71">
        <v>1254.3467039896645</v>
      </c>
      <c r="EZ27" s="71">
        <v>1266.4138853855857</v>
      </c>
      <c r="FA27" s="71">
        <v>1278.4810667815068</v>
      </c>
      <c r="FB27" s="71">
        <v>1290.5482481774279</v>
      </c>
      <c r="FC27" s="71">
        <v>1302.615429573349</v>
      </c>
      <c r="FD27" s="71">
        <v>1314.6826109692702</v>
      </c>
      <c r="FE27" s="71">
        <v>1326.7497923651913</v>
      </c>
      <c r="FF27" s="72">
        <v>255644</v>
      </c>
      <c r="FG27" s="72">
        <v>259969</v>
      </c>
      <c r="FH27" s="476">
        <v>264528</v>
      </c>
      <c r="FI27" s="476">
        <v>266324.02899999998</v>
      </c>
      <c r="FJ27" s="476">
        <v>269599.60499999998</v>
      </c>
      <c r="FK27" s="476">
        <v>272985.42800000001</v>
      </c>
    </row>
    <row r="28" spans="1:167">
      <c r="A28" s="73" t="s">
        <v>931</v>
      </c>
      <c r="B28" s="19" t="s">
        <v>932</v>
      </c>
      <c r="C28" s="74" t="s">
        <v>673</v>
      </c>
      <c r="D28" s="75" t="s">
        <v>110</v>
      </c>
      <c r="E28" s="76">
        <v>470</v>
      </c>
      <c r="F28" s="77">
        <v>425</v>
      </c>
      <c r="G28" s="410">
        <v>460</v>
      </c>
      <c r="H28" s="78">
        <v>72060</v>
      </c>
      <c r="I28" s="77">
        <v>75325</v>
      </c>
      <c r="J28" s="410">
        <v>78035</v>
      </c>
      <c r="K28" s="410">
        <v>80257.284</v>
      </c>
      <c r="L28" s="418">
        <v>82320.253999999986</v>
      </c>
      <c r="M28" s="79">
        <v>652.20000000000005</v>
      </c>
      <c r="N28" s="80">
        <v>561.6</v>
      </c>
      <c r="O28" s="421">
        <v>613.29999999999995</v>
      </c>
      <c r="P28" s="71">
        <v>543</v>
      </c>
      <c r="Q28" s="75" t="s">
        <v>110</v>
      </c>
      <c r="R28" s="81">
        <v>200</v>
      </c>
      <c r="S28" s="77">
        <v>260</v>
      </c>
      <c r="T28" s="452">
        <v>235</v>
      </c>
      <c r="U28" s="77">
        <v>255</v>
      </c>
      <c r="V28" s="77">
        <v>330</v>
      </c>
      <c r="W28" s="452">
        <v>270</v>
      </c>
      <c r="X28" s="82">
        <v>79.2</v>
      </c>
      <c r="Y28" s="83">
        <v>79.3</v>
      </c>
      <c r="Z28" s="443">
        <v>86.6</v>
      </c>
      <c r="AA28" s="63">
        <v>276</v>
      </c>
      <c r="AB28" s="63">
        <v>328</v>
      </c>
      <c r="AC28" s="19" t="s">
        <v>110</v>
      </c>
      <c r="AD28" s="84">
        <v>770</v>
      </c>
      <c r="AE28" s="85">
        <v>777</v>
      </c>
      <c r="AF28" s="85">
        <v>743</v>
      </c>
      <c r="AG28" s="85">
        <v>833</v>
      </c>
      <c r="AH28" s="85">
        <v>842</v>
      </c>
      <c r="AI28" s="85">
        <v>1060</v>
      </c>
      <c r="AJ28" s="85">
        <v>820</v>
      </c>
      <c r="AK28" s="85">
        <v>810</v>
      </c>
      <c r="AL28" s="85">
        <v>864</v>
      </c>
      <c r="AM28" s="85">
        <v>837</v>
      </c>
      <c r="AN28" s="85">
        <v>762</v>
      </c>
      <c r="AO28" s="85">
        <v>671</v>
      </c>
      <c r="AP28" s="85">
        <v>817</v>
      </c>
      <c r="AQ28" s="85">
        <v>596</v>
      </c>
      <c r="AR28" s="85">
        <v>616</v>
      </c>
      <c r="AS28" s="85">
        <v>598</v>
      </c>
      <c r="AT28" s="85">
        <v>734</v>
      </c>
      <c r="AU28" s="85">
        <v>684</v>
      </c>
      <c r="AV28" s="85">
        <v>574</v>
      </c>
      <c r="AW28" s="85">
        <v>908</v>
      </c>
      <c r="AX28" s="86">
        <v>681</v>
      </c>
      <c r="AY28" s="86">
        <v>809</v>
      </c>
      <c r="AZ28" s="86">
        <v>699</v>
      </c>
      <c r="BA28" s="86">
        <v>805</v>
      </c>
      <c r="BB28" s="86">
        <v>969</v>
      </c>
      <c r="BC28" s="86">
        <v>637</v>
      </c>
      <c r="BD28" s="86">
        <v>920</v>
      </c>
      <c r="BE28" s="86">
        <v>750</v>
      </c>
      <c r="BF28" s="86">
        <v>687</v>
      </c>
      <c r="BG28" s="86">
        <v>981</v>
      </c>
      <c r="BH28" s="86">
        <v>1036</v>
      </c>
      <c r="BI28" s="86">
        <v>1004</v>
      </c>
      <c r="BJ28" s="86">
        <v>847</v>
      </c>
      <c r="BK28" s="86">
        <v>1013</v>
      </c>
      <c r="BL28" s="86">
        <v>978</v>
      </c>
      <c r="BM28" s="86">
        <v>826</v>
      </c>
      <c r="BN28" s="86">
        <v>789</v>
      </c>
      <c r="BO28" s="86">
        <v>824</v>
      </c>
      <c r="BP28" s="86">
        <v>958</v>
      </c>
      <c r="BQ28" s="86">
        <v>962</v>
      </c>
      <c r="BR28" s="85">
        <v>561</v>
      </c>
      <c r="BS28" s="85">
        <v>937</v>
      </c>
      <c r="BT28" s="85">
        <v>871</v>
      </c>
      <c r="BU28" s="85">
        <v>964</v>
      </c>
      <c r="BV28" s="67">
        <v>2838</v>
      </c>
      <c r="BW28" s="67">
        <v>2439</v>
      </c>
      <c r="BX28" s="67">
        <v>2481</v>
      </c>
      <c r="BY28" s="67">
        <v>2772</v>
      </c>
      <c r="BZ28" s="68">
        <v>2656.1221987315007</v>
      </c>
      <c r="CA28" s="68">
        <v>2683.3873150105705</v>
      </c>
      <c r="CB28" s="68">
        <v>2710.6524312896404</v>
      </c>
      <c r="CC28" s="68">
        <v>2737.9175475687102</v>
      </c>
      <c r="CD28" s="68">
        <v>2765.1826638477801</v>
      </c>
      <c r="CE28" s="68">
        <v>2792.4477801268499</v>
      </c>
      <c r="CF28" s="68">
        <v>2819.7128964059193</v>
      </c>
      <c r="CG28" s="68">
        <v>2846.9780126849892</v>
      </c>
      <c r="CH28" s="87">
        <v>297100</v>
      </c>
      <c r="CI28" s="467">
        <v>297777</v>
      </c>
      <c r="CJ28" s="467">
        <v>299848.12899999996</v>
      </c>
      <c r="CK28" s="467">
        <v>301480.01700000005</v>
      </c>
      <c r="CL28" s="468">
        <v>303040.59699999989</v>
      </c>
      <c r="CM28" s="19" t="s">
        <v>110</v>
      </c>
      <c r="CN28" s="70">
        <v>693</v>
      </c>
      <c r="CO28" s="70">
        <v>639</v>
      </c>
      <c r="CP28" s="70">
        <v>563</v>
      </c>
      <c r="CQ28" s="70">
        <v>637</v>
      </c>
      <c r="CR28" s="70">
        <v>531</v>
      </c>
      <c r="CS28" s="70">
        <v>573</v>
      </c>
      <c r="CT28" s="70">
        <v>688</v>
      </c>
      <c r="CU28" s="70">
        <v>767</v>
      </c>
      <c r="CV28" s="70">
        <v>764</v>
      </c>
      <c r="CW28" s="70">
        <v>663</v>
      </c>
      <c r="CX28" s="70">
        <v>649</v>
      </c>
      <c r="CY28" s="70">
        <v>739</v>
      </c>
      <c r="CZ28" s="70">
        <v>683</v>
      </c>
      <c r="DA28" s="70">
        <v>671</v>
      </c>
      <c r="DB28" s="70">
        <v>550</v>
      </c>
      <c r="DC28" s="70">
        <v>547</v>
      </c>
      <c r="DD28" s="70">
        <v>561</v>
      </c>
      <c r="DE28" s="70">
        <v>636</v>
      </c>
      <c r="DF28" s="70">
        <v>672</v>
      </c>
      <c r="DG28" s="70">
        <v>690</v>
      </c>
      <c r="DH28" s="70">
        <v>899</v>
      </c>
      <c r="DI28" s="70">
        <v>743</v>
      </c>
      <c r="DJ28" s="70">
        <v>732</v>
      </c>
      <c r="DK28" s="70">
        <v>792</v>
      </c>
      <c r="DL28" s="46">
        <v>706</v>
      </c>
      <c r="DM28" s="46">
        <v>672</v>
      </c>
      <c r="DN28" s="46">
        <v>615</v>
      </c>
      <c r="DO28" s="46">
        <v>570</v>
      </c>
      <c r="DP28" s="46">
        <v>506</v>
      </c>
      <c r="DQ28" s="46">
        <v>521</v>
      </c>
      <c r="DR28" s="46">
        <v>544</v>
      </c>
      <c r="DS28" s="46">
        <v>621</v>
      </c>
      <c r="DT28" s="46">
        <v>750</v>
      </c>
      <c r="DU28" s="46">
        <v>697</v>
      </c>
      <c r="DV28" s="46">
        <v>652</v>
      </c>
      <c r="DW28" s="46">
        <v>675</v>
      </c>
      <c r="DX28" s="46">
        <v>677</v>
      </c>
      <c r="DY28" s="46">
        <v>667</v>
      </c>
      <c r="DZ28" s="46">
        <v>616</v>
      </c>
      <c r="EA28" s="46">
        <v>570</v>
      </c>
      <c r="EB28" s="46">
        <v>583</v>
      </c>
      <c r="EC28" s="46">
        <v>598</v>
      </c>
      <c r="ED28" s="46">
        <v>643</v>
      </c>
      <c r="EE28" s="46">
        <v>639</v>
      </c>
      <c r="EF28" s="46">
        <v>785</v>
      </c>
      <c r="EG28" s="46">
        <v>705</v>
      </c>
      <c r="EH28" s="46">
        <v>668</v>
      </c>
      <c r="EI28" s="46">
        <v>710</v>
      </c>
      <c r="EJ28" s="46">
        <v>712</v>
      </c>
      <c r="EK28" s="46">
        <v>641</v>
      </c>
      <c r="EL28" s="46">
        <v>587</v>
      </c>
      <c r="EM28" s="46">
        <v>554</v>
      </c>
      <c r="EN28" s="46">
        <v>584</v>
      </c>
      <c r="EO28" s="46">
        <v>595</v>
      </c>
      <c r="EP28" s="46">
        <v>604</v>
      </c>
      <c r="EQ28" s="46">
        <v>695</v>
      </c>
      <c r="ER28" s="46">
        <v>770</v>
      </c>
      <c r="ES28" s="46">
        <v>596</v>
      </c>
      <c r="ET28" s="46">
        <v>2083</v>
      </c>
      <c r="EU28" s="46">
        <v>1940</v>
      </c>
      <c r="EV28" s="46">
        <v>1733</v>
      </c>
      <c r="EW28" s="46">
        <v>2069</v>
      </c>
      <c r="EX28" s="71">
        <v>1932.6560337137407</v>
      </c>
      <c r="EY28" s="71">
        <v>1930.5298532714016</v>
      </c>
      <c r="EZ28" s="71">
        <v>1928.4036728290625</v>
      </c>
      <c r="FA28" s="71">
        <v>1926.2774923867232</v>
      </c>
      <c r="FB28" s="71">
        <v>1924.1513119443844</v>
      </c>
      <c r="FC28" s="71">
        <v>1922.0251315020455</v>
      </c>
      <c r="FD28" s="71">
        <v>1919.8989510597064</v>
      </c>
      <c r="FE28" s="71">
        <v>1917.7727706173673</v>
      </c>
      <c r="FF28" s="72">
        <v>370736</v>
      </c>
      <c r="FG28" s="72">
        <v>372146</v>
      </c>
      <c r="FH28" s="476">
        <v>372707</v>
      </c>
      <c r="FI28" s="476">
        <v>374671.19799999997</v>
      </c>
      <c r="FJ28" s="476">
        <v>376148.50400000002</v>
      </c>
      <c r="FK28" s="476">
        <v>377728.826</v>
      </c>
    </row>
    <row r="29" spans="1:167">
      <c r="A29" s="73" t="s">
        <v>931</v>
      </c>
      <c r="B29" s="19" t="s">
        <v>932</v>
      </c>
      <c r="C29" s="74" t="s">
        <v>674</v>
      </c>
      <c r="D29" s="75" t="s">
        <v>114</v>
      </c>
      <c r="E29" s="76">
        <v>645</v>
      </c>
      <c r="F29" s="77">
        <v>585</v>
      </c>
      <c r="G29" s="410">
        <v>520</v>
      </c>
      <c r="H29" s="78">
        <v>61600</v>
      </c>
      <c r="I29" s="77">
        <v>63940</v>
      </c>
      <c r="J29" s="410">
        <v>65877</v>
      </c>
      <c r="K29" s="410">
        <v>67620.255999999994</v>
      </c>
      <c r="L29" s="418">
        <v>69148.351000000024</v>
      </c>
      <c r="M29" s="79">
        <v>1043.8</v>
      </c>
      <c r="N29" s="80">
        <v>914.9</v>
      </c>
      <c r="O29" s="421">
        <v>811.7</v>
      </c>
      <c r="P29" s="71">
        <v>550</v>
      </c>
      <c r="Q29" s="75" t="s">
        <v>114</v>
      </c>
      <c r="R29" s="81">
        <v>210</v>
      </c>
      <c r="S29" s="77">
        <v>190</v>
      </c>
      <c r="T29" s="452">
        <v>125</v>
      </c>
      <c r="U29" s="77">
        <v>255</v>
      </c>
      <c r="V29" s="77">
        <v>230</v>
      </c>
      <c r="W29" s="452">
        <v>165</v>
      </c>
      <c r="X29" s="82">
        <v>81.7</v>
      </c>
      <c r="Y29" s="83">
        <v>82.2</v>
      </c>
      <c r="Z29" s="443">
        <v>76.8</v>
      </c>
      <c r="AA29" s="63">
        <v>180</v>
      </c>
      <c r="AB29" s="63">
        <v>250</v>
      </c>
      <c r="AC29" s="19" t="s">
        <v>114</v>
      </c>
      <c r="AD29" s="84">
        <v>516</v>
      </c>
      <c r="AE29" s="85">
        <v>425</v>
      </c>
      <c r="AF29" s="85">
        <v>622</v>
      </c>
      <c r="AG29" s="85">
        <v>436</v>
      </c>
      <c r="AH29" s="85">
        <v>352</v>
      </c>
      <c r="AI29" s="85">
        <v>602</v>
      </c>
      <c r="AJ29" s="85">
        <v>417</v>
      </c>
      <c r="AK29" s="85">
        <v>522</v>
      </c>
      <c r="AL29" s="85">
        <v>364</v>
      </c>
      <c r="AM29" s="85">
        <v>369</v>
      </c>
      <c r="AN29" s="85">
        <v>290</v>
      </c>
      <c r="AO29" s="85">
        <v>354</v>
      </c>
      <c r="AP29" s="85">
        <v>300</v>
      </c>
      <c r="AQ29" s="85">
        <v>331</v>
      </c>
      <c r="AR29" s="85">
        <v>440</v>
      </c>
      <c r="AS29" s="85">
        <v>461</v>
      </c>
      <c r="AT29" s="85">
        <v>353</v>
      </c>
      <c r="AU29" s="85">
        <v>619</v>
      </c>
      <c r="AV29" s="85">
        <v>482</v>
      </c>
      <c r="AW29" s="85">
        <v>562</v>
      </c>
      <c r="AX29" s="86">
        <v>427</v>
      </c>
      <c r="AY29" s="86">
        <v>932</v>
      </c>
      <c r="AZ29" s="86">
        <v>434</v>
      </c>
      <c r="BA29" s="86">
        <v>499</v>
      </c>
      <c r="BB29" s="86">
        <v>549</v>
      </c>
      <c r="BC29" s="86">
        <v>587</v>
      </c>
      <c r="BD29" s="86">
        <v>673</v>
      </c>
      <c r="BE29" s="86">
        <v>546</v>
      </c>
      <c r="BF29" s="86">
        <v>397</v>
      </c>
      <c r="BG29" s="86">
        <v>624</v>
      </c>
      <c r="BH29" s="86">
        <v>473</v>
      </c>
      <c r="BI29" s="86">
        <v>609</v>
      </c>
      <c r="BJ29" s="86">
        <v>452</v>
      </c>
      <c r="BK29" s="86">
        <v>526</v>
      </c>
      <c r="BL29" s="86">
        <v>578</v>
      </c>
      <c r="BM29" s="86">
        <v>712</v>
      </c>
      <c r="BN29" s="86">
        <v>665</v>
      </c>
      <c r="BO29" s="86">
        <v>707</v>
      </c>
      <c r="BP29" s="86">
        <v>555</v>
      </c>
      <c r="BQ29" s="86">
        <v>624</v>
      </c>
      <c r="BR29" s="85">
        <v>502</v>
      </c>
      <c r="BS29" s="85">
        <v>673</v>
      </c>
      <c r="BT29" s="85">
        <v>495</v>
      </c>
      <c r="BU29" s="85">
        <v>483</v>
      </c>
      <c r="BV29" s="67">
        <v>1556</v>
      </c>
      <c r="BW29" s="67">
        <v>2084</v>
      </c>
      <c r="BX29" s="67">
        <v>1681</v>
      </c>
      <c r="BY29" s="67">
        <v>1651</v>
      </c>
      <c r="BZ29" s="68">
        <v>1846.2991543340381</v>
      </c>
      <c r="CA29" s="68">
        <v>1885.8160676532771</v>
      </c>
      <c r="CB29" s="68">
        <v>1925.332980972516</v>
      </c>
      <c r="CC29" s="68">
        <v>1964.8498942917549</v>
      </c>
      <c r="CD29" s="68">
        <v>2004.3668076109939</v>
      </c>
      <c r="CE29" s="68">
        <v>2043.8837209302324</v>
      </c>
      <c r="CF29" s="68">
        <v>2083.4006342494713</v>
      </c>
      <c r="CG29" s="68">
        <v>2122.9175475687102</v>
      </c>
      <c r="CH29" s="87">
        <v>264100</v>
      </c>
      <c r="CI29" s="467">
        <v>264903</v>
      </c>
      <c r="CJ29" s="467">
        <v>265606.82900000009</v>
      </c>
      <c r="CK29" s="467">
        <v>266472.75700000004</v>
      </c>
      <c r="CL29" s="468">
        <v>267304.35800000001</v>
      </c>
      <c r="CM29" s="19" t="s">
        <v>114</v>
      </c>
      <c r="CN29" s="70">
        <v>536</v>
      </c>
      <c r="CO29" s="70">
        <v>485</v>
      </c>
      <c r="CP29" s="70">
        <v>518</v>
      </c>
      <c r="CQ29" s="70">
        <v>580</v>
      </c>
      <c r="CR29" s="70">
        <v>424</v>
      </c>
      <c r="CS29" s="70">
        <v>538</v>
      </c>
      <c r="CT29" s="70">
        <v>602</v>
      </c>
      <c r="CU29" s="70">
        <v>640</v>
      </c>
      <c r="CV29" s="70">
        <v>644</v>
      </c>
      <c r="CW29" s="70">
        <v>625</v>
      </c>
      <c r="CX29" s="70">
        <v>504</v>
      </c>
      <c r="CY29" s="70">
        <v>668</v>
      </c>
      <c r="CZ29" s="70">
        <v>522</v>
      </c>
      <c r="DA29" s="70">
        <v>538</v>
      </c>
      <c r="DB29" s="70">
        <v>503</v>
      </c>
      <c r="DC29" s="70">
        <v>487</v>
      </c>
      <c r="DD29" s="70">
        <v>488</v>
      </c>
      <c r="DE29" s="70">
        <v>531</v>
      </c>
      <c r="DF29" s="70">
        <v>564</v>
      </c>
      <c r="DG29" s="70">
        <v>591</v>
      </c>
      <c r="DH29" s="70">
        <v>728</v>
      </c>
      <c r="DI29" s="70">
        <v>614</v>
      </c>
      <c r="DJ29" s="70">
        <v>607</v>
      </c>
      <c r="DK29" s="70">
        <v>678</v>
      </c>
      <c r="DL29" s="46">
        <v>572</v>
      </c>
      <c r="DM29" s="46">
        <v>561</v>
      </c>
      <c r="DN29" s="46">
        <v>534</v>
      </c>
      <c r="DO29" s="46">
        <v>479</v>
      </c>
      <c r="DP29" s="46">
        <v>412</v>
      </c>
      <c r="DQ29" s="46">
        <v>456</v>
      </c>
      <c r="DR29" s="46">
        <v>485</v>
      </c>
      <c r="DS29" s="46">
        <v>575</v>
      </c>
      <c r="DT29" s="46">
        <v>636</v>
      </c>
      <c r="DU29" s="46">
        <v>586</v>
      </c>
      <c r="DV29" s="46">
        <v>654</v>
      </c>
      <c r="DW29" s="46">
        <v>644</v>
      </c>
      <c r="DX29" s="46">
        <v>571</v>
      </c>
      <c r="DY29" s="46">
        <v>584</v>
      </c>
      <c r="DZ29" s="46">
        <v>494</v>
      </c>
      <c r="EA29" s="46">
        <v>543</v>
      </c>
      <c r="EB29" s="46">
        <v>496</v>
      </c>
      <c r="EC29" s="46">
        <v>511</v>
      </c>
      <c r="ED29" s="46">
        <v>570</v>
      </c>
      <c r="EE29" s="46">
        <v>594</v>
      </c>
      <c r="EF29" s="46">
        <v>725</v>
      </c>
      <c r="EG29" s="46">
        <v>612</v>
      </c>
      <c r="EH29" s="46">
        <v>578</v>
      </c>
      <c r="EI29" s="46">
        <v>564</v>
      </c>
      <c r="EJ29" s="46">
        <v>618</v>
      </c>
      <c r="EK29" s="46">
        <v>511</v>
      </c>
      <c r="EL29" s="46">
        <v>446</v>
      </c>
      <c r="EM29" s="46">
        <v>474</v>
      </c>
      <c r="EN29" s="46">
        <v>446</v>
      </c>
      <c r="EO29" s="46">
        <v>515</v>
      </c>
      <c r="EP29" s="46">
        <v>539</v>
      </c>
      <c r="EQ29" s="46">
        <v>581</v>
      </c>
      <c r="ER29" s="46">
        <v>659</v>
      </c>
      <c r="ES29" s="46">
        <v>533</v>
      </c>
      <c r="ET29" s="46">
        <v>1754</v>
      </c>
      <c r="EU29" s="46">
        <v>1575</v>
      </c>
      <c r="EV29" s="46">
        <v>1435</v>
      </c>
      <c r="EW29" s="46">
        <v>1779</v>
      </c>
      <c r="EX29" s="71">
        <v>1672.063182503307</v>
      </c>
      <c r="EY29" s="71">
        <v>1671.8414285274848</v>
      </c>
      <c r="EZ29" s="71">
        <v>1671.6196745516627</v>
      </c>
      <c r="FA29" s="71">
        <v>1671.3979205758405</v>
      </c>
      <c r="FB29" s="71">
        <v>1671.1761666000184</v>
      </c>
      <c r="FC29" s="71">
        <v>1670.9544126241965</v>
      </c>
      <c r="FD29" s="71">
        <v>1670.7326586483746</v>
      </c>
      <c r="FE29" s="71">
        <v>1670.5109046725524</v>
      </c>
      <c r="FF29" s="72">
        <v>329526</v>
      </c>
      <c r="FG29" s="72">
        <v>330200</v>
      </c>
      <c r="FH29" s="476">
        <v>331026</v>
      </c>
      <c r="FI29" s="476">
        <v>331594.55499999999</v>
      </c>
      <c r="FJ29" s="476">
        <v>332383.886</v>
      </c>
      <c r="FK29" s="476">
        <v>333229.299</v>
      </c>
    </row>
    <row r="30" spans="1:167">
      <c r="A30" s="73" t="s">
        <v>899</v>
      </c>
      <c r="B30" s="19" t="s">
        <v>900</v>
      </c>
      <c r="C30" s="74" t="s">
        <v>675</v>
      </c>
      <c r="D30" s="75" t="s">
        <v>117</v>
      </c>
      <c r="E30" s="76">
        <v>0</v>
      </c>
      <c r="F30" s="77">
        <v>0</v>
      </c>
      <c r="G30" s="410">
        <v>5</v>
      </c>
      <c r="H30" s="78">
        <v>1050</v>
      </c>
      <c r="I30" s="77">
        <v>1105</v>
      </c>
      <c r="J30" s="410">
        <v>1202</v>
      </c>
      <c r="K30" s="410">
        <v>1170.5019999999997</v>
      </c>
      <c r="L30" s="418">
        <v>1195.347</v>
      </c>
      <c r="M30" s="79">
        <v>0</v>
      </c>
      <c r="N30" s="80">
        <v>0</v>
      </c>
      <c r="O30" s="421">
        <v>632.9</v>
      </c>
      <c r="P30" s="71">
        <v>3</v>
      </c>
      <c r="Q30" s="75" t="s">
        <v>117</v>
      </c>
      <c r="R30" s="81">
        <v>0</v>
      </c>
      <c r="S30" s="77">
        <v>20</v>
      </c>
      <c r="T30" s="452">
        <v>10</v>
      </c>
      <c r="U30" s="77">
        <v>0</v>
      </c>
      <c r="V30" s="77">
        <v>20</v>
      </c>
      <c r="W30" s="452">
        <v>10</v>
      </c>
      <c r="X30" s="82">
        <v>0</v>
      </c>
      <c r="Y30" s="83">
        <v>86.4</v>
      </c>
      <c r="Z30" s="443">
        <v>100</v>
      </c>
      <c r="AA30" s="63">
        <v>10</v>
      </c>
      <c r="AB30" s="63">
        <v>22</v>
      </c>
      <c r="AC30" s="19" t="s">
        <v>117</v>
      </c>
      <c r="AD30" s="84">
        <v>33</v>
      </c>
      <c r="AE30" s="85">
        <v>89</v>
      </c>
      <c r="AF30" s="85">
        <v>87</v>
      </c>
      <c r="AG30" s="85">
        <v>31</v>
      </c>
      <c r="AH30" s="85">
        <v>38</v>
      </c>
      <c r="AI30" s="85">
        <v>42</v>
      </c>
      <c r="AJ30" s="85">
        <v>30</v>
      </c>
      <c r="AK30" s="85">
        <v>32</v>
      </c>
      <c r="AL30" s="85">
        <v>31</v>
      </c>
      <c r="AM30" s="85">
        <v>31</v>
      </c>
      <c r="AN30" s="85">
        <v>67</v>
      </c>
      <c r="AO30" s="85">
        <v>39</v>
      </c>
      <c r="AP30" s="85">
        <v>13</v>
      </c>
      <c r="AQ30" s="85">
        <v>0</v>
      </c>
      <c r="AR30" s="85">
        <v>18</v>
      </c>
      <c r="AS30" s="85">
        <v>27</v>
      </c>
      <c r="AT30" s="85">
        <v>1</v>
      </c>
      <c r="AU30" s="85">
        <v>0</v>
      </c>
      <c r="AV30" s="85">
        <v>6</v>
      </c>
      <c r="AW30" s="85">
        <v>0</v>
      </c>
      <c r="AX30" s="86">
        <v>0</v>
      </c>
      <c r="AY30" s="86">
        <v>16</v>
      </c>
      <c r="AZ30" s="86">
        <v>40</v>
      </c>
      <c r="BA30" s="86">
        <v>1</v>
      </c>
      <c r="BB30" s="86">
        <v>27</v>
      </c>
      <c r="BC30" s="86">
        <v>0</v>
      </c>
      <c r="BD30" s="86">
        <v>0</v>
      </c>
      <c r="BE30" s="86">
        <v>6</v>
      </c>
      <c r="BF30" s="86">
        <v>7</v>
      </c>
      <c r="BG30" s="86">
        <v>22</v>
      </c>
      <c r="BH30" s="86">
        <v>10</v>
      </c>
      <c r="BI30" s="86">
        <v>68</v>
      </c>
      <c r="BJ30" s="86">
        <v>25</v>
      </c>
      <c r="BK30" s="86">
        <v>31</v>
      </c>
      <c r="BL30" s="86">
        <v>0</v>
      </c>
      <c r="BM30" s="86">
        <v>0</v>
      </c>
      <c r="BN30" s="86">
        <v>2</v>
      </c>
      <c r="BO30" s="86">
        <v>6</v>
      </c>
      <c r="BP30" s="86">
        <v>31</v>
      </c>
      <c r="BQ30" s="86">
        <v>51</v>
      </c>
      <c r="BR30" s="85">
        <v>76</v>
      </c>
      <c r="BS30" s="85">
        <v>62</v>
      </c>
      <c r="BT30" s="85">
        <v>45</v>
      </c>
      <c r="BU30" s="85">
        <v>31</v>
      </c>
      <c r="BV30" s="67">
        <v>56</v>
      </c>
      <c r="BW30" s="67">
        <v>8</v>
      </c>
      <c r="BX30" s="67">
        <v>158</v>
      </c>
      <c r="BY30" s="67">
        <v>138</v>
      </c>
      <c r="BZ30" s="68">
        <v>58.714376321353072</v>
      </c>
      <c r="CA30" s="68">
        <v>56.008668076109934</v>
      </c>
      <c r="CB30" s="68">
        <v>53.302959830866811</v>
      </c>
      <c r="CC30" s="68">
        <v>50.597251585623681</v>
      </c>
      <c r="CD30" s="68">
        <v>47.891543340380544</v>
      </c>
      <c r="CE30" s="68">
        <v>45.185835095137421</v>
      </c>
      <c r="CF30" s="68">
        <v>42.48012684989429</v>
      </c>
      <c r="CG30" s="68">
        <v>39.77441860465116</v>
      </c>
      <c r="CH30" s="87">
        <v>6800</v>
      </c>
      <c r="CI30" s="467">
        <v>6819</v>
      </c>
      <c r="CJ30" s="467">
        <v>7250.2600000000011</v>
      </c>
      <c r="CK30" s="467">
        <v>7438.1330000000034</v>
      </c>
      <c r="CL30" s="468">
        <v>7625.6080000000002</v>
      </c>
      <c r="CM30" s="19" t="s">
        <v>117</v>
      </c>
      <c r="CN30" s="70">
        <v>8</v>
      </c>
      <c r="CO30" s="70">
        <v>5</v>
      </c>
      <c r="CP30" s="70">
        <v>3</v>
      </c>
      <c r="CQ30" s="70">
        <v>7</v>
      </c>
      <c r="CR30" s="70">
        <v>4</v>
      </c>
      <c r="CS30" s="70">
        <v>8</v>
      </c>
      <c r="CT30" s="70">
        <v>3</v>
      </c>
      <c r="CU30" s="70">
        <v>3</v>
      </c>
      <c r="CV30" s="70">
        <v>6</v>
      </c>
      <c r="CW30" s="70">
        <v>2</v>
      </c>
      <c r="CX30" s="70">
        <v>5</v>
      </c>
      <c r="CY30" s="70">
        <v>6</v>
      </c>
      <c r="CZ30" s="70">
        <v>3</v>
      </c>
      <c r="DA30" s="70">
        <v>6</v>
      </c>
      <c r="DB30" s="70">
        <v>4</v>
      </c>
      <c r="DC30" s="70">
        <v>3</v>
      </c>
      <c r="DD30" s="70">
        <v>1</v>
      </c>
      <c r="DE30" s="70">
        <v>5</v>
      </c>
      <c r="DF30" s="70">
        <v>5</v>
      </c>
      <c r="DG30" s="70">
        <v>4</v>
      </c>
      <c r="DH30" s="70">
        <v>3</v>
      </c>
      <c r="DI30" s="70">
        <v>7</v>
      </c>
      <c r="DJ30" s="70">
        <v>2</v>
      </c>
      <c r="DK30" s="70">
        <v>6</v>
      </c>
      <c r="DL30" s="46">
        <v>5</v>
      </c>
      <c r="DM30" s="46">
        <v>5</v>
      </c>
      <c r="DN30" s="46">
        <v>3</v>
      </c>
      <c r="DO30" s="46">
        <v>4</v>
      </c>
      <c r="DP30" s="46">
        <v>4</v>
      </c>
      <c r="DQ30" s="46">
        <v>2</v>
      </c>
      <c r="DR30" s="46">
        <v>2</v>
      </c>
      <c r="DS30" s="46">
        <v>1</v>
      </c>
      <c r="DT30" s="46">
        <v>7</v>
      </c>
      <c r="DU30" s="46">
        <v>7</v>
      </c>
      <c r="DV30" s="46">
        <v>8</v>
      </c>
      <c r="DW30" s="46">
        <v>0</v>
      </c>
      <c r="DX30" s="46">
        <v>6</v>
      </c>
      <c r="DY30" s="46">
        <v>3</v>
      </c>
      <c r="DZ30" s="46">
        <v>5</v>
      </c>
      <c r="EA30" s="46">
        <v>8</v>
      </c>
      <c r="EB30" s="46">
        <v>4</v>
      </c>
      <c r="EC30" s="46">
        <v>6</v>
      </c>
      <c r="ED30" s="46">
        <v>3</v>
      </c>
      <c r="EE30" s="46">
        <v>9</v>
      </c>
      <c r="EF30" s="46">
        <v>8</v>
      </c>
      <c r="EG30" s="46">
        <v>8</v>
      </c>
      <c r="EH30" s="46">
        <v>3</v>
      </c>
      <c r="EI30" s="46">
        <v>7</v>
      </c>
      <c r="EJ30" s="46">
        <v>2</v>
      </c>
      <c r="EK30" s="46">
        <v>3</v>
      </c>
      <c r="EL30" s="46">
        <v>1</v>
      </c>
      <c r="EM30" s="46">
        <v>2</v>
      </c>
      <c r="EN30" s="46">
        <v>7</v>
      </c>
      <c r="EO30" s="46">
        <v>4</v>
      </c>
      <c r="EP30" s="46">
        <v>7</v>
      </c>
      <c r="EQ30" s="46">
        <v>5</v>
      </c>
      <c r="ER30" s="46">
        <v>4</v>
      </c>
      <c r="ES30" s="46">
        <v>4</v>
      </c>
      <c r="ET30" s="46">
        <v>18</v>
      </c>
      <c r="EU30" s="46">
        <v>6</v>
      </c>
      <c r="EV30" s="46">
        <v>13</v>
      </c>
      <c r="EW30" s="46">
        <v>16</v>
      </c>
      <c r="EX30" s="71">
        <v>13.884585807007293</v>
      </c>
      <c r="EY30" s="71">
        <v>13.896213356301335</v>
      </c>
      <c r="EZ30" s="71">
        <v>13.907840905595375</v>
      </c>
      <c r="FA30" s="71">
        <v>13.919468454889415</v>
      </c>
      <c r="FB30" s="71">
        <v>13.931096004183459</v>
      </c>
      <c r="FC30" s="71">
        <v>13.942723553477499</v>
      </c>
      <c r="FD30" s="71">
        <v>13.954351102771543</v>
      </c>
      <c r="FE30" s="71">
        <v>13.965978652065584</v>
      </c>
      <c r="FF30" s="72">
        <v>7412</v>
      </c>
      <c r="FG30" s="72">
        <v>7604</v>
      </c>
      <c r="FH30" s="476">
        <v>7648</v>
      </c>
      <c r="FI30" s="476">
        <v>8085.5820000000003</v>
      </c>
      <c r="FJ30" s="476">
        <v>8297.0789999999997</v>
      </c>
      <c r="FK30" s="476">
        <v>8513.4009999999998</v>
      </c>
    </row>
    <row r="31" spans="1:167">
      <c r="A31" s="73" t="s">
        <v>933</v>
      </c>
      <c r="B31" s="19" t="s">
        <v>934</v>
      </c>
      <c r="C31" s="74" t="s">
        <v>676</v>
      </c>
      <c r="D31" s="75" t="s">
        <v>121</v>
      </c>
      <c r="E31" s="76">
        <v>605</v>
      </c>
      <c r="F31" s="77">
        <v>670</v>
      </c>
      <c r="G31" s="410">
        <v>620</v>
      </c>
      <c r="H31" s="78">
        <v>116500</v>
      </c>
      <c r="I31" s="77">
        <v>121665</v>
      </c>
      <c r="J31" s="410">
        <v>125448</v>
      </c>
      <c r="K31" s="410">
        <v>129202.44699999997</v>
      </c>
      <c r="L31" s="418">
        <v>132381.19</v>
      </c>
      <c r="M31" s="79">
        <v>519.29999999999995</v>
      </c>
      <c r="N31" s="80">
        <v>550.70000000000005</v>
      </c>
      <c r="O31" s="421">
        <v>511.2</v>
      </c>
      <c r="P31" s="71">
        <v>665</v>
      </c>
      <c r="Q31" s="75" t="s">
        <v>121</v>
      </c>
      <c r="R31" s="81">
        <v>50</v>
      </c>
      <c r="S31" s="77">
        <v>0</v>
      </c>
      <c r="T31" s="452">
        <v>100</v>
      </c>
      <c r="U31" s="77">
        <v>55</v>
      </c>
      <c r="V31" s="77">
        <v>0</v>
      </c>
      <c r="W31" s="452">
        <v>120</v>
      </c>
      <c r="X31" s="82">
        <v>90.9</v>
      </c>
      <c r="Y31" s="83">
        <v>0</v>
      </c>
      <c r="Z31" s="443">
        <v>83.5</v>
      </c>
      <c r="AA31" s="63">
        <v>680</v>
      </c>
      <c r="AB31" s="63">
        <v>800</v>
      </c>
      <c r="AC31" s="19" t="s">
        <v>121</v>
      </c>
      <c r="AD31" s="84">
        <v>2899</v>
      </c>
      <c r="AE31" s="85">
        <v>2546</v>
      </c>
      <c r="AF31" s="85">
        <v>1979</v>
      </c>
      <c r="AG31" s="85">
        <v>2051</v>
      </c>
      <c r="AH31" s="85">
        <v>2315</v>
      </c>
      <c r="AI31" s="85">
        <v>1827</v>
      </c>
      <c r="AJ31" s="85">
        <v>1664</v>
      </c>
      <c r="AK31" s="85">
        <v>1982</v>
      </c>
      <c r="AL31" s="85">
        <v>1889</v>
      </c>
      <c r="AM31" s="85">
        <v>1742</v>
      </c>
      <c r="AN31" s="85">
        <v>2089</v>
      </c>
      <c r="AO31" s="85">
        <v>2035</v>
      </c>
      <c r="AP31" s="85">
        <v>1869</v>
      </c>
      <c r="AQ31" s="85">
        <v>1800</v>
      </c>
      <c r="AR31" s="85">
        <v>2022</v>
      </c>
      <c r="AS31" s="85">
        <v>1981</v>
      </c>
      <c r="AT31" s="85">
        <v>2087</v>
      </c>
      <c r="AU31" s="85">
        <v>2027</v>
      </c>
      <c r="AV31" s="85">
        <v>1336</v>
      </c>
      <c r="AW31" s="85">
        <v>1801</v>
      </c>
      <c r="AX31" s="86">
        <v>1719</v>
      </c>
      <c r="AY31" s="86">
        <v>1845</v>
      </c>
      <c r="AZ31" s="86">
        <v>1741</v>
      </c>
      <c r="BA31" s="86">
        <v>1733</v>
      </c>
      <c r="BB31" s="86">
        <v>1642</v>
      </c>
      <c r="BC31" s="86">
        <v>1612</v>
      </c>
      <c r="BD31" s="86">
        <v>1876</v>
      </c>
      <c r="BE31" s="86">
        <v>1585</v>
      </c>
      <c r="BF31" s="86">
        <v>1661</v>
      </c>
      <c r="BG31" s="86">
        <v>1990</v>
      </c>
      <c r="BH31" s="86">
        <v>1614</v>
      </c>
      <c r="BI31" s="86">
        <v>1602</v>
      </c>
      <c r="BJ31" s="86">
        <v>1893</v>
      </c>
      <c r="BK31" s="86">
        <v>1845</v>
      </c>
      <c r="BL31" s="86">
        <v>1669</v>
      </c>
      <c r="BM31" s="86">
        <v>2017</v>
      </c>
      <c r="BN31" s="86">
        <v>1866</v>
      </c>
      <c r="BO31" s="86">
        <v>2116</v>
      </c>
      <c r="BP31" s="86">
        <v>1739</v>
      </c>
      <c r="BQ31" s="86">
        <v>1611</v>
      </c>
      <c r="BR31" s="85">
        <v>1624</v>
      </c>
      <c r="BS31" s="85">
        <v>2085</v>
      </c>
      <c r="BT31" s="85">
        <v>1753</v>
      </c>
      <c r="BU31" s="85">
        <v>2155</v>
      </c>
      <c r="BV31" s="67">
        <v>5407</v>
      </c>
      <c r="BW31" s="67">
        <v>5999</v>
      </c>
      <c r="BX31" s="67">
        <v>4974</v>
      </c>
      <c r="BY31" s="67">
        <v>5993</v>
      </c>
      <c r="BZ31" s="68">
        <v>5064.8054968287524</v>
      </c>
      <c r="CA31" s="68">
        <v>4989.513742071882</v>
      </c>
      <c r="CB31" s="68">
        <v>4914.2219873150107</v>
      </c>
      <c r="CC31" s="68">
        <v>4838.9302325581393</v>
      </c>
      <c r="CD31" s="68">
        <v>4763.6384778012689</v>
      </c>
      <c r="CE31" s="68">
        <v>4688.3467230443975</v>
      </c>
      <c r="CF31" s="68">
        <v>4613.0549682875262</v>
      </c>
      <c r="CG31" s="68">
        <v>4537.7632135306558</v>
      </c>
      <c r="CH31" s="87">
        <v>434400</v>
      </c>
      <c r="CI31" s="467">
        <v>437101</v>
      </c>
      <c r="CJ31" s="467">
        <v>442056.97200000007</v>
      </c>
      <c r="CK31" s="467">
        <v>446050.95600000001</v>
      </c>
      <c r="CL31" s="468">
        <v>449877.21699999995</v>
      </c>
      <c r="CM31" s="19" t="s">
        <v>121</v>
      </c>
      <c r="CN31" s="70">
        <v>807</v>
      </c>
      <c r="CO31" s="70">
        <v>737</v>
      </c>
      <c r="CP31" s="70">
        <v>748</v>
      </c>
      <c r="CQ31" s="70">
        <v>736</v>
      </c>
      <c r="CR31" s="70">
        <v>656</v>
      </c>
      <c r="CS31" s="70">
        <v>738</v>
      </c>
      <c r="CT31" s="70">
        <v>813</v>
      </c>
      <c r="CU31" s="70">
        <v>869</v>
      </c>
      <c r="CV31" s="70">
        <v>996</v>
      </c>
      <c r="CW31" s="70">
        <v>773</v>
      </c>
      <c r="CX31" s="70">
        <v>723</v>
      </c>
      <c r="CY31" s="70">
        <v>870</v>
      </c>
      <c r="CZ31" s="70">
        <v>745</v>
      </c>
      <c r="DA31" s="70">
        <v>728</v>
      </c>
      <c r="DB31" s="70">
        <v>729</v>
      </c>
      <c r="DC31" s="70">
        <v>688</v>
      </c>
      <c r="DD31" s="70">
        <v>615</v>
      </c>
      <c r="DE31" s="70">
        <v>667</v>
      </c>
      <c r="DF31" s="70">
        <v>745</v>
      </c>
      <c r="DG31" s="70">
        <v>835</v>
      </c>
      <c r="DH31" s="70">
        <v>1056</v>
      </c>
      <c r="DI31" s="70">
        <v>895</v>
      </c>
      <c r="DJ31" s="70">
        <v>816</v>
      </c>
      <c r="DK31" s="70">
        <v>883</v>
      </c>
      <c r="DL31" s="46">
        <v>841</v>
      </c>
      <c r="DM31" s="46">
        <v>726</v>
      </c>
      <c r="DN31" s="46">
        <v>756</v>
      </c>
      <c r="DO31" s="46">
        <v>716</v>
      </c>
      <c r="DP31" s="46">
        <v>708</v>
      </c>
      <c r="DQ31" s="46">
        <v>673</v>
      </c>
      <c r="DR31" s="46">
        <v>768</v>
      </c>
      <c r="DS31" s="46">
        <v>788</v>
      </c>
      <c r="DT31" s="46">
        <v>884</v>
      </c>
      <c r="DU31" s="46">
        <v>864</v>
      </c>
      <c r="DV31" s="46">
        <v>856</v>
      </c>
      <c r="DW31" s="46">
        <v>825</v>
      </c>
      <c r="DX31" s="46">
        <v>774</v>
      </c>
      <c r="DY31" s="46">
        <v>794</v>
      </c>
      <c r="DZ31" s="46">
        <v>676</v>
      </c>
      <c r="EA31" s="46">
        <v>753</v>
      </c>
      <c r="EB31" s="46">
        <v>677</v>
      </c>
      <c r="EC31" s="46">
        <v>612</v>
      </c>
      <c r="ED31" s="46">
        <v>700</v>
      </c>
      <c r="EE31" s="46">
        <v>777</v>
      </c>
      <c r="EF31" s="46">
        <v>909</v>
      </c>
      <c r="EG31" s="46">
        <v>780</v>
      </c>
      <c r="EH31" s="46">
        <v>766</v>
      </c>
      <c r="EI31" s="46">
        <v>891</v>
      </c>
      <c r="EJ31" s="46">
        <v>1027</v>
      </c>
      <c r="EK31" s="46">
        <v>871</v>
      </c>
      <c r="EL31" s="46">
        <v>738</v>
      </c>
      <c r="EM31" s="46">
        <v>783</v>
      </c>
      <c r="EN31" s="46">
        <v>708</v>
      </c>
      <c r="EO31" s="46">
        <v>763</v>
      </c>
      <c r="EP31" s="46">
        <v>779</v>
      </c>
      <c r="EQ31" s="46">
        <v>778</v>
      </c>
      <c r="ER31" s="46">
        <v>1022</v>
      </c>
      <c r="ES31" s="46">
        <v>895</v>
      </c>
      <c r="ET31" s="46">
        <v>2437</v>
      </c>
      <c r="EU31" s="46">
        <v>2636</v>
      </c>
      <c r="EV31" s="46">
        <v>2254</v>
      </c>
      <c r="EW31" s="46">
        <v>2579</v>
      </c>
      <c r="EX31" s="71">
        <v>2454.9778215263468</v>
      </c>
      <c r="EY31" s="71">
        <v>2463.1752437786463</v>
      </c>
      <c r="EZ31" s="71">
        <v>2471.3726660309453</v>
      </c>
      <c r="FA31" s="71">
        <v>2479.5700882832448</v>
      </c>
      <c r="FB31" s="71">
        <v>2487.7675105355443</v>
      </c>
      <c r="FC31" s="71">
        <v>2495.9649327878433</v>
      </c>
      <c r="FD31" s="71">
        <v>2504.1623550401428</v>
      </c>
      <c r="FE31" s="71">
        <v>2512.3597772924422</v>
      </c>
      <c r="FF31" s="72">
        <v>533760</v>
      </c>
      <c r="FG31" s="72">
        <v>537914</v>
      </c>
      <c r="FH31" s="476">
        <v>541319</v>
      </c>
      <c r="FI31" s="476">
        <v>546585.37899999996</v>
      </c>
      <c r="FJ31" s="476">
        <v>551058.63600000006</v>
      </c>
      <c r="FK31" s="476">
        <v>555669.98800000001</v>
      </c>
    </row>
    <row r="32" spans="1:167">
      <c r="A32" s="73" t="s">
        <v>935</v>
      </c>
      <c r="B32" s="19" t="s">
        <v>936</v>
      </c>
      <c r="C32" s="74" t="s">
        <v>677</v>
      </c>
      <c r="D32" s="75" t="s">
        <v>124</v>
      </c>
      <c r="E32" s="76">
        <v>825</v>
      </c>
      <c r="F32" s="77">
        <v>780</v>
      </c>
      <c r="G32" s="410">
        <v>710</v>
      </c>
      <c r="H32" s="78">
        <v>93015</v>
      </c>
      <c r="I32" s="77">
        <v>96580</v>
      </c>
      <c r="J32" s="410">
        <v>99000</v>
      </c>
      <c r="K32" s="410">
        <v>101839.72399999999</v>
      </c>
      <c r="L32" s="418">
        <v>104167.89100000003</v>
      </c>
      <c r="M32" s="79">
        <v>888</v>
      </c>
      <c r="N32" s="80">
        <v>809.7</v>
      </c>
      <c r="O32" s="421">
        <v>736.2</v>
      </c>
      <c r="P32" s="71">
        <v>761</v>
      </c>
      <c r="Q32" s="75" t="s">
        <v>124</v>
      </c>
      <c r="R32" s="81">
        <v>215</v>
      </c>
      <c r="S32" s="77">
        <v>285</v>
      </c>
      <c r="T32" s="452">
        <v>295</v>
      </c>
      <c r="U32" s="77">
        <v>250</v>
      </c>
      <c r="V32" s="77">
        <v>335</v>
      </c>
      <c r="W32" s="452">
        <v>330</v>
      </c>
      <c r="X32" s="82">
        <v>86</v>
      </c>
      <c r="Y32" s="83">
        <v>85.4</v>
      </c>
      <c r="Z32" s="443">
        <v>89.4</v>
      </c>
      <c r="AA32" s="63">
        <v>308</v>
      </c>
      <c r="AB32" s="63">
        <v>360</v>
      </c>
      <c r="AC32" s="19" t="s">
        <v>124</v>
      </c>
      <c r="AD32" s="84">
        <v>497</v>
      </c>
      <c r="AE32" s="85">
        <v>381</v>
      </c>
      <c r="AF32" s="85">
        <v>426</v>
      </c>
      <c r="AG32" s="85">
        <v>425</v>
      </c>
      <c r="AH32" s="85">
        <v>376</v>
      </c>
      <c r="AI32" s="85">
        <v>443</v>
      </c>
      <c r="AJ32" s="85">
        <v>564</v>
      </c>
      <c r="AK32" s="85">
        <v>522</v>
      </c>
      <c r="AL32" s="85">
        <v>355</v>
      </c>
      <c r="AM32" s="85">
        <v>280</v>
      </c>
      <c r="AN32" s="85">
        <v>227</v>
      </c>
      <c r="AO32" s="85">
        <v>220</v>
      </c>
      <c r="AP32" s="85">
        <v>224</v>
      </c>
      <c r="AQ32" s="85">
        <v>324</v>
      </c>
      <c r="AR32" s="85">
        <v>650</v>
      </c>
      <c r="AS32" s="85">
        <v>509</v>
      </c>
      <c r="AT32" s="85">
        <v>586</v>
      </c>
      <c r="AU32" s="85">
        <v>802</v>
      </c>
      <c r="AV32" s="85">
        <v>1009</v>
      </c>
      <c r="AW32" s="85">
        <v>1294</v>
      </c>
      <c r="AX32" s="86">
        <v>938</v>
      </c>
      <c r="AY32" s="86">
        <v>1612</v>
      </c>
      <c r="AZ32" s="86">
        <v>1047</v>
      </c>
      <c r="BA32" s="86">
        <v>905</v>
      </c>
      <c r="BB32" s="86">
        <v>982</v>
      </c>
      <c r="BC32" s="86">
        <v>1013</v>
      </c>
      <c r="BD32" s="86">
        <v>1210</v>
      </c>
      <c r="BE32" s="86">
        <v>1440</v>
      </c>
      <c r="BF32" s="86">
        <v>1232</v>
      </c>
      <c r="BG32" s="86">
        <v>1437</v>
      </c>
      <c r="BH32" s="86">
        <v>1264</v>
      </c>
      <c r="BI32" s="86">
        <v>1231</v>
      </c>
      <c r="BJ32" s="86">
        <v>999</v>
      </c>
      <c r="BK32" s="86">
        <v>1248</v>
      </c>
      <c r="BL32" s="86">
        <v>1117</v>
      </c>
      <c r="BM32" s="86">
        <v>888</v>
      </c>
      <c r="BN32" s="86">
        <v>1426</v>
      </c>
      <c r="BO32" s="86">
        <v>1557</v>
      </c>
      <c r="BP32" s="86">
        <v>1349</v>
      </c>
      <c r="BQ32" s="86">
        <v>1362</v>
      </c>
      <c r="BR32" s="85">
        <v>1175</v>
      </c>
      <c r="BS32" s="85">
        <v>1439</v>
      </c>
      <c r="BT32" s="85">
        <v>991</v>
      </c>
      <c r="BU32" s="85">
        <v>1099</v>
      </c>
      <c r="BV32" s="67">
        <v>3364</v>
      </c>
      <c r="BW32" s="67">
        <v>3871</v>
      </c>
      <c r="BX32" s="67">
        <v>3886</v>
      </c>
      <c r="BY32" s="67">
        <v>3529</v>
      </c>
      <c r="BZ32" s="68">
        <v>4561.6183932346721</v>
      </c>
      <c r="CA32" s="68">
        <v>4803.8414376321352</v>
      </c>
      <c r="CB32" s="68">
        <v>5046.0644820295984</v>
      </c>
      <c r="CC32" s="68">
        <v>5288.2875264270615</v>
      </c>
      <c r="CD32" s="68">
        <v>5530.5105708245246</v>
      </c>
      <c r="CE32" s="68">
        <v>5772.7336152219877</v>
      </c>
      <c r="CF32" s="68">
        <v>6014.9566596194509</v>
      </c>
      <c r="CG32" s="68">
        <v>6257.179704016914</v>
      </c>
      <c r="CH32" s="87">
        <v>414100</v>
      </c>
      <c r="CI32" s="467">
        <v>415740</v>
      </c>
      <c r="CJ32" s="467">
        <v>417422.84100000001</v>
      </c>
      <c r="CK32" s="467">
        <v>419379.27899999992</v>
      </c>
      <c r="CL32" s="468">
        <v>421273.27999999997</v>
      </c>
      <c r="CM32" s="19" t="s">
        <v>124</v>
      </c>
      <c r="CN32" s="70">
        <v>1026</v>
      </c>
      <c r="CO32" s="70">
        <v>944</v>
      </c>
      <c r="CP32" s="70">
        <v>903</v>
      </c>
      <c r="CQ32" s="70">
        <v>954</v>
      </c>
      <c r="CR32" s="70">
        <v>831</v>
      </c>
      <c r="CS32" s="70">
        <v>927</v>
      </c>
      <c r="CT32" s="70">
        <v>1058</v>
      </c>
      <c r="CU32" s="70">
        <v>1006</v>
      </c>
      <c r="CV32" s="70">
        <v>1112</v>
      </c>
      <c r="CW32" s="70">
        <v>955</v>
      </c>
      <c r="CX32" s="70">
        <v>1046</v>
      </c>
      <c r="CY32" s="70">
        <v>1045</v>
      </c>
      <c r="CZ32" s="70">
        <v>1138</v>
      </c>
      <c r="DA32" s="70">
        <v>1079</v>
      </c>
      <c r="DB32" s="70">
        <v>981</v>
      </c>
      <c r="DC32" s="70">
        <v>1017</v>
      </c>
      <c r="DD32" s="70">
        <v>974</v>
      </c>
      <c r="DE32" s="70">
        <v>988</v>
      </c>
      <c r="DF32" s="70">
        <v>1126</v>
      </c>
      <c r="DG32" s="70">
        <v>1174</v>
      </c>
      <c r="DH32" s="70">
        <v>1304</v>
      </c>
      <c r="DI32" s="70">
        <v>1395</v>
      </c>
      <c r="DJ32" s="70">
        <v>1262</v>
      </c>
      <c r="DK32" s="70">
        <v>1274</v>
      </c>
      <c r="DL32" s="46">
        <v>1182</v>
      </c>
      <c r="DM32" s="46">
        <v>1080</v>
      </c>
      <c r="DN32" s="46">
        <v>1037</v>
      </c>
      <c r="DO32" s="46">
        <v>1039</v>
      </c>
      <c r="DP32" s="46">
        <v>1030</v>
      </c>
      <c r="DQ32" s="46">
        <v>1005</v>
      </c>
      <c r="DR32" s="46">
        <v>1146</v>
      </c>
      <c r="DS32" s="46">
        <v>1034</v>
      </c>
      <c r="DT32" s="46">
        <v>1363</v>
      </c>
      <c r="DU32" s="46">
        <v>1316</v>
      </c>
      <c r="DV32" s="46">
        <v>1348</v>
      </c>
      <c r="DW32" s="46">
        <v>1223</v>
      </c>
      <c r="DX32" s="46">
        <v>1173</v>
      </c>
      <c r="DY32" s="46">
        <v>1241</v>
      </c>
      <c r="DZ32" s="46">
        <v>1184</v>
      </c>
      <c r="EA32" s="46">
        <v>1148</v>
      </c>
      <c r="EB32" s="46">
        <v>1078</v>
      </c>
      <c r="EC32" s="46">
        <v>1032</v>
      </c>
      <c r="ED32" s="46">
        <v>1166</v>
      </c>
      <c r="EE32" s="46">
        <v>1223</v>
      </c>
      <c r="EF32" s="46">
        <v>1536</v>
      </c>
      <c r="EG32" s="46">
        <v>1277</v>
      </c>
      <c r="EH32" s="46">
        <v>1103</v>
      </c>
      <c r="EI32" s="46">
        <v>1094</v>
      </c>
      <c r="EJ32" s="46">
        <v>1291</v>
      </c>
      <c r="EK32" s="46">
        <v>1150</v>
      </c>
      <c r="EL32" s="46">
        <v>1091</v>
      </c>
      <c r="EM32" s="46">
        <v>1162</v>
      </c>
      <c r="EN32" s="46">
        <v>1006</v>
      </c>
      <c r="EO32" s="46">
        <v>1027</v>
      </c>
      <c r="EP32" s="46">
        <v>1132</v>
      </c>
      <c r="EQ32" s="46">
        <v>1077</v>
      </c>
      <c r="ER32" s="46">
        <v>1308</v>
      </c>
      <c r="ES32" s="46">
        <v>770</v>
      </c>
      <c r="ET32" s="46">
        <v>3474</v>
      </c>
      <c r="EU32" s="46">
        <v>3532</v>
      </c>
      <c r="EV32" s="46">
        <v>3195</v>
      </c>
      <c r="EW32" s="46">
        <v>3517</v>
      </c>
      <c r="EX32" s="71">
        <v>3632.40007382571</v>
      </c>
      <c r="EY32" s="71">
        <v>3659.3064997385341</v>
      </c>
      <c r="EZ32" s="71">
        <v>3686.2129256513585</v>
      </c>
      <c r="FA32" s="71">
        <v>3713.1193515641826</v>
      </c>
      <c r="FB32" s="71">
        <v>3740.0257774770071</v>
      </c>
      <c r="FC32" s="71">
        <v>3766.9322033898306</v>
      </c>
      <c r="FD32" s="71">
        <v>3793.8386293026551</v>
      </c>
      <c r="FE32" s="71">
        <v>3820.7450552154787</v>
      </c>
      <c r="FF32" s="72">
        <v>512994</v>
      </c>
      <c r="FG32" s="72">
        <v>514348</v>
      </c>
      <c r="FH32" s="476">
        <v>515957</v>
      </c>
      <c r="FI32" s="476">
        <v>517988.70500000002</v>
      </c>
      <c r="FJ32" s="476">
        <v>520058.63099999999</v>
      </c>
      <c r="FK32" s="476">
        <v>522212.17200000002</v>
      </c>
    </row>
    <row r="33" spans="1:167">
      <c r="A33" s="73" t="s">
        <v>937</v>
      </c>
      <c r="B33" s="19" t="s">
        <v>938</v>
      </c>
      <c r="C33" s="74" t="s">
        <v>678</v>
      </c>
      <c r="D33" s="75" t="s">
        <v>128</v>
      </c>
      <c r="E33" s="76">
        <v>295</v>
      </c>
      <c r="F33" s="77">
        <v>355</v>
      </c>
      <c r="G33" s="410">
        <v>370</v>
      </c>
      <c r="H33" s="78">
        <v>46480</v>
      </c>
      <c r="I33" s="77">
        <v>47435</v>
      </c>
      <c r="J33" s="410">
        <v>48158</v>
      </c>
      <c r="K33" s="410">
        <v>48802.705000000009</v>
      </c>
      <c r="L33" s="418">
        <v>49475.991000000002</v>
      </c>
      <c r="M33" s="79">
        <v>636.9</v>
      </c>
      <c r="N33" s="80">
        <v>746.3</v>
      </c>
      <c r="O33" s="421">
        <v>782.2</v>
      </c>
      <c r="P33" s="71">
        <v>342</v>
      </c>
      <c r="Q33" s="75" t="s">
        <v>128</v>
      </c>
      <c r="R33" s="81">
        <v>260</v>
      </c>
      <c r="S33" s="77">
        <v>235</v>
      </c>
      <c r="T33" s="452">
        <v>275</v>
      </c>
      <c r="U33" s="77">
        <v>370</v>
      </c>
      <c r="V33" s="77">
        <v>305</v>
      </c>
      <c r="W33" s="452">
        <v>340</v>
      </c>
      <c r="X33" s="82">
        <v>70.400000000000006</v>
      </c>
      <c r="Y33" s="83">
        <v>76.099999999999994</v>
      </c>
      <c r="Z33" s="443">
        <v>81.2</v>
      </c>
      <c r="AA33" s="63">
        <v>264</v>
      </c>
      <c r="AB33" s="63">
        <v>330</v>
      </c>
      <c r="AC33" s="19" t="s">
        <v>128</v>
      </c>
      <c r="AD33" s="84">
        <v>1794</v>
      </c>
      <c r="AE33" s="85">
        <v>1491</v>
      </c>
      <c r="AF33" s="85">
        <v>1958</v>
      </c>
      <c r="AG33" s="85">
        <v>1447</v>
      </c>
      <c r="AH33" s="85">
        <v>2219</v>
      </c>
      <c r="AI33" s="85">
        <v>1564</v>
      </c>
      <c r="AJ33" s="85">
        <v>1875</v>
      </c>
      <c r="AK33" s="85">
        <v>1786</v>
      </c>
      <c r="AL33" s="85">
        <v>1170</v>
      </c>
      <c r="AM33" s="85">
        <v>1436</v>
      </c>
      <c r="AN33" s="85">
        <v>1603</v>
      </c>
      <c r="AO33" s="85">
        <v>1687</v>
      </c>
      <c r="AP33" s="85">
        <v>1844</v>
      </c>
      <c r="AQ33" s="85">
        <v>1865</v>
      </c>
      <c r="AR33" s="85">
        <v>1845</v>
      </c>
      <c r="AS33" s="85">
        <v>1658</v>
      </c>
      <c r="AT33" s="85">
        <v>1390</v>
      </c>
      <c r="AU33" s="85">
        <v>1503</v>
      </c>
      <c r="AV33" s="85">
        <v>1193</v>
      </c>
      <c r="AW33" s="85">
        <v>1294</v>
      </c>
      <c r="AX33" s="86">
        <v>1367</v>
      </c>
      <c r="AY33" s="86">
        <v>1132</v>
      </c>
      <c r="AZ33" s="86">
        <v>1299</v>
      </c>
      <c r="BA33" s="86">
        <v>2047</v>
      </c>
      <c r="BB33" s="86">
        <v>1797</v>
      </c>
      <c r="BC33" s="86">
        <v>1367</v>
      </c>
      <c r="BD33" s="86">
        <v>1167</v>
      </c>
      <c r="BE33" s="86">
        <v>1036</v>
      </c>
      <c r="BF33" s="86">
        <v>1000</v>
      </c>
      <c r="BG33" s="86">
        <v>1254</v>
      </c>
      <c r="BH33" s="86">
        <v>1214</v>
      </c>
      <c r="BI33" s="86">
        <v>1034</v>
      </c>
      <c r="BJ33" s="86">
        <v>1238</v>
      </c>
      <c r="BK33" s="86">
        <v>1135</v>
      </c>
      <c r="BL33" s="86">
        <v>1050</v>
      </c>
      <c r="BM33" s="86">
        <v>1453</v>
      </c>
      <c r="BN33" s="86">
        <v>1475</v>
      </c>
      <c r="BO33" s="86">
        <v>1364</v>
      </c>
      <c r="BP33" s="86">
        <v>1365</v>
      </c>
      <c r="BQ33" s="86">
        <v>1049</v>
      </c>
      <c r="BR33" s="85">
        <v>1039</v>
      </c>
      <c r="BS33" s="85">
        <v>1159</v>
      </c>
      <c r="BT33" s="85">
        <v>1323</v>
      </c>
      <c r="BU33" s="85">
        <v>1573</v>
      </c>
      <c r="BV33" s="67">
        <v>3423</v>
      </c>
      <c r="BW33" s="67">
        <v>4292</v>
      </c>
      <c r="BX33" s="67">
        <v>3453</v>
      </c>
      <c r="BY33" s="67">
        <v>4055</v>
      </c>
      <c r="BZ33" s="68">
        <v>3329.5716701902747</v>
      </c>
      <c r="CA33" s="68">
        <v>3201.4019027484137</v>
      </c>
      <c r="CB33" s="68">
        <v>3073.2321353065536</v>
      </c>
      <c r="CC33" s="68">
        <v>2945.062367864693</v>
      </c>
      <c r="CD33" s="68">
        <v>2816.8926004228324</v>
      </c>
      <c r="CE33" s="68">
        <v>2688.7228329809723</v>
      </c>
      <c r="CF33" s="68">
        <v>2560.5530655391117</v>
      </c>
      <c r="CG33" s="68">
        <v>2432.3832980972511</v>
      </c>
      <c r="CH33" s="87">
        <v>251300</v>
      </c>
      <c r="CI33" s="467">
        <v>256633</v>
      </c>
      <c r="CJ33" s="467">
        <v>258949.21300000002</v>
      </c>
      <c r="CK33" s="467">
        <v>262300.55300000001</v>
      </c>
      <c r="CL33" s="468">
        <v>265481.07799999998</v>
      </c>
      <c r="CM33" s="19" t="s">
        <v>128</v>
      </c>
      <c r="CN33" s="70">
        <v>482</v>
      </c>
      <c r="CO33" s="70">
        <v>515</v>
      </c>
      <c r="CP33" s="70">
        <v>520</v>
      </c>
      <c r="CQ33" s="70">
        <v>471</v>
      </c>
      <c r="CR33" s="70">
        <v>450</v>
      </c>
      <c r="CS33" s="70">
        <v>525</v>
      </c>
      <c r="CT33" s="70">
        <v>590</v>
      </c>
      <c r="CU33" s="70">
        <v>571</v>
      </c>
      <c r="CV33" s="70">
        <v>636</v>
      </c>
      <c r="CW33" s="70">
        <v>615</v>
      </c>
      <c r="CX33" s="70">
        <v>534</v>
      </c>
      <c r="CY33" s="70">
        <v>562</v>
      </c>
      <c r="CZ33" s="70">
        <v>528</v>
      </c>
      <c r="DA33" s="70">
        <v>560</v>
      </c>
      <c r="DB33" s="70">
        <v>472</v>
      </c>
      <c r="DC33" s="70">
        <v>503</v>
      </c>
      <c r="DD33" s="70">
        <v>504</v>
      </c>
      <c r="DE33" s="70">
        <v>533</v>
      </c>
      <c r="DF33" s="70">
        <v>571</v>
      </c>
      <c r="DG33" s="70">
        <v>610</v>
      </c>
      <c r="DH33" s="70">
        <v>800</v>
      </c>
      <c r="DI33" s="70">
        <v>653</v>
      </c>
      <c r="DJ33" s="70">
        <v>538</v>
      </c>
      <c r="DK33" s="70">
        <v>542</v>
      </c>
      <c r="DL33" s="46">
        <v>605</v>
      </c>
      <c r="DM33" s="46">
        <v>550</v>
      </c>
      <c r="DN33" s="46">
        <v>538</v>
      </c>
      <c r="DO33" s="46">
        <v>502</v>
      </c>
      <c r="DP33" s="46">
        <v>474</v>
      </c>
      <c r="DQ33" s="46">
        <v>529</v>
      </c>
      <c r="DR33" s="46">
        <v>537</v>
      </c>
      <c r="DS33" s="46">
        <v>524</v>
      </c>
      <c r="DT33" s="46">
        <v>639</v>
      </c>
      <c r="DU33" s="46">
        <v>599</v>
      </c>
      <c r="DV33" s="46">
        <v>674</v>
      </c>
      <c r="DW33" s="46">
        <v>610</v>
      </c>
      <c r="DX33" s="46">
        <v>574</v>
      </c>
      <c r="DY33" s="46">
        <v>648</v>
      </c>
      <c r="DZ33" s="46">
        <v>598</v>
      </c>
      <c r="EA33" s="46">
        <v>587</v>
      </c>
      <c r="EB33" s="46">
        <v>524</v>
      </c>
      <c r="EC33" s="46">
        <v>561</v>
      </c>
      <c r="ED33" s="46">
        <v>697</v>
      </c>
      <c r="EE33" s="46">
        <v>622</v>
      </c>
      <c r="EF33" s="46">
        <v>691</v>
      </c>
      <c r="EG33" s="46">
        <v>672</v>
      </c>
      <c r="EH33" s="46">
        <v>593</v>
      </c>
      <c r="EI33" s="46">
        <v>665</v>
      </c>
      <c r="EJ33" s="46">
        <v>702</v>
      </c>
      <c r="EK33" s="46">
        <v>645</v>
      </c>
      <c r="EL33" s="46">
        <v>568</v>
      </c>
      <c r="EM33" s="46">
        <v>620</v>
      </c>
      <c r="EN33" s="46">
        <v>611</v>
      </c>
      <c r="EO33" s="46">
        <v>567</v>
      </c>
      <c r="EP33" s="46">
        <v>620</v>
      </c>
      <c r="EQ33" s="46">
        <v>650</v>
      </c>
      <c r="ER33" s="46">
        <v>762</v>
      </c>
      <c r="ES33" s="46">
        <v>610</v>
      </c>
      <c r="ET33" s="46">
        <v>1930</v>
      </c>
      <c r="EU33" s="46">
        <v>1915</v>
      </c>
      <c r="EV33" s="46">
        <v>1798</v>
      </c>
      <c r="EW33" s="46">
        <v>2032</v>
      </c>
      <c r="EX33" s="71">
        <v>1976.1498969516133</v>
      </c>
      <c r="EY33" s="71">
        <v>1996.9313728505954</v>
      </c>
      <c r="EZ33" s="71">
        <v>2017.712848749577</v>
      </c>
      <c r="FA33" s="71">
        <v>2038.4943246485591</v>
      </c>
      <c r="FB33" s="71">
        <v>2059.2758005475407</v>
      </c>
      <c r="FC33" s="71">
        <v>2080.0572764465223</v>
      </c>
      <c r="FD33" s="71">
        <v>2100.838752345504</v>
      </c>
      <c r="FE33" s="71">
        <v>2121.620228244486</v>
      </c>
      <c r="FF33" s="72">
        <v>316915</v>
      </c>
      <c r="FG33" s="72">
        <v>323132</v>
      </c>
      <c r="FH33" s="476">
        <v>329810</v>
      </c>
      <c r="FI33" s="476">
        <v>332492.25300000003</v>
      </c>
      <c r="FJ33" s="476">
        <v>336893.97600000002</v>
      </c>
      <c r="FK33" s="476">
        <v>341389.12400000001</v>
      </c>
    </row>
    <row r="34" spans="1:167">
      <c r="A34" s="73" t="s">
        <v>907</v>
      </c>
      <c r="B34" s="19" t="s">
        <v>908</v>
      </c>
      <c r="C34" s="74" t="s">
        <v>679</v>
      </c>
      <c r="D34" s="75" t="s">
        <v>132</v>
      </c>
      <c r="E34" s="76">
        <v>255</v>
      </c>
      <c r="F34" s="77">
        <v>100</v>
      </c>
      <c r="G34" s="410">
        <v>175</v>
      </c>
      <c r="H34" s="78">
        <v>44655</v>
      </c>
      <c r="I34" s="77">
        <v>46235</v>
      </c>
      <c r="J34" s="410">
        <v>47476</v>
      </c>
      <c r="K34" s="410">
        <v>48423.700000000004</v>
      </c>
      <c r="L34" s="418">
        <v>49375.137999999999</v>
      </c>
      <c r="M34" s="79">
        <v>566.6</v>
      </c>
      <c r="N34" s="80">
        <v>212</v>
      </c>
      <c r="O34" s="421">
        <v>374.2</v>
      </c>
      <c r="P34" s="71">
        <v>209</v>
      </c>
      <c r="Q34" s="75" t="s">
        <v>132</v>
      </c>
      <c r="R34" s="81">
        <v>180</v>
      </c>
      <c r="S34" s="77">
        <v>125</v>
      </c>
      <c r="T34" s="452">
        <v>140</v>
      </c>
      <c r="U34" s="77">
        <v>240</v>
      </c>
      <c r="V34" s="77">
        <v>150</v>
      </c>
      <c r="W34" s="452">
        <v>160</v>
      </c>
      <c r="X34" s="82">
        <v>74.8</v>
      </c>
      <c r="Y34" s="83">
        <v>85.1</v>
      </c>
      <c r="Z34" s="443">
        <v>85.2</v>
      </c>
      <c r="AA34" s="63">
        <v>846.5</v>
      </c>
      <c r="AB34" s="63">
        <v>962.4</v>
      </c>
      <c r="AC34" s="19" t="s">
        <v>132</v>
      </c>
      <c r="AD34" s="84">
        <v>71</v>
      </c>
      <c r="AE34" s="85">
        <v>75</v>
      </c>
      <c r="AF34" s="85">
        <v>159</v>
      </c>
      <c r="AG34" s="85">
        <v>65</v>
      </c>
      <c r="AH34" s="85">
        <v>64</v>
      </c>
      <c r="AI34" s="85">
        <v>57</v>
      </c>
      <c r="AJ34" s="85">
        <v>31</v>
      </c>
      <c r="AK34" s="85">
        <v>170</v>
      </c>
      <c r="AL34" s="85">
        <v>101</v>
      </c>
      <c r="AM34" s="85">
        <v>166</v>
      </c>
      <c r="AN34" s="85">
        <v>195</v>
      </c>
      <c r="AO34" s="85">
        <v>219</v>
      </c>
      <c r="AP34" s="85">
        <v>167</v>
      </c>
      <c r="AQ34" s="85">
        <v>284</v>
      </c>
      <c r="AR34" s="85">
        <v>480</v>
      </c>
      <c r="AS34" s="85">
        <v>202</v>
      </c>
      <c r="AT34" s="85">
        <v>295</v>
      </c>
      <c r="AU34" s="85">
        <v>185</v>
      </c>
      <c r="AV34" s="85">
        <v>379</v>
      </c>
      <c r="AW34" s="85">
        <v>680</v>
      </c>
      <c r="AX34" s="86">
        <v>302</v>
      </c>
      <c r="AY34" s="86">
        <v>342</v>
      </c>
      <c r="AZ34" s="86">
        <v>249</v>
      </c>
      <c r="BA34" s="86">
        <v>288</v>
      </c>
      <c r="BB34" s="86">
        <v>326</v>
      </c>
      <c r="BC34" s="86">
        <v>230</v>
      </c>
      <c r="BD34" s="86">
        <v>123</v>
      </c>
      <c r="BE34" s="86">
        <v>244</v>
      </c>
      <c r="BF34" s="86">
        <v>378</v>
      </c>
      <c r="BG34" s="86">
        <v>353</v>
      </c>
      <c r="BH34" s="86">
        <v>317</v>
      </c>
      <c r="BI34" s="86">
        <v>494</v>
      </c>
      <c r="BJ34" s="86">
        <v>537</v>
      </c>
      <c r="BK34" s="86">
        <v>488</v>
      </c>
      <c r="BL34" s="86">
        <v>419</v>
      </c>
      <c r="BM34" s="86">
        <v>239</v>
      </c>
      <c r="BN34" s="86">
        <v>383</v>
      </c>
      <c r="BO34" s="86">
        <v>408</v>
      </c>
      <c r="BP34" s="86">
        <v>589</v>
      </c>
      <c r="BQ34" s="86">
        <v>466</v>
      </c>
      <c r="BR34" s="85">
        <v>498</v>
      </c>
      <c r="BS34" s="85">
        <v>539</v>
      </c>
      <c r="BT34" s="85">
        <v>443</v>
      </c>
      <c r="BU34" s="85">
        <v>427</v>
      </c>
      <c r="BV34" s="67">
        <v>1444</v>
      </c>
      <c r="BW34" s="67">
        <v>1030</v>
      </c>
      <c r="BX34" s="67">
        <v>1553</v>
      </c>
      <c r="BY34" s="67">
        <v>1409</v>
      </c>
      <c r="BZ34" s="68">
        <v>1577.0940803382664</v>
      </c>
      <c r="CA34" s="68">
        <v>1664.167019027484</v>
      </c>
      <c r="CB34" s="68">
        <v>1751.2399577167021</v>
      </c>
      <c r="CC34" s="68">
        <v>1838.3128964059197</v>
      </c>
      <c r="CD34" s="68">
        <v>1925.3858350951373</v>
      </c>
      <c r="CE34" s="68">
        <v>2012.4587737843551</v>
      </c>
      <c r="CF34" s="68">
        <v>2099.531712473573</v>
      </c>
      <c r="CG34" s="68">
        <v>2186.604651162791</v>
      </c>
      <c r="CH34" s="87">
        <v>278200</v>
      </c>
      <c r="CI34" s="467">
        <v>281124</v>
      </c>
      <c r="CJ34" s="467">
        <v>284460.109</v>
      </c>
      <c r="CK34" s="467">
        <v>287696.51700000005</v>
      </c>
      <c r="CL34" s="468">
        <v>290842.9479999998</v>
      </c>
      <c r="CM34" s="19" t="s">
        <v>132</v>
      </c>
      <c r="CN34" s="70">
        <v>458</v>
      </c>
      <c r="CO34" s="70">
        <v>462</v>
      </c>
      <c r="CP34" s="70">
        <v>468</v>
      </c>
      <c r="CQ34" s="70">
        <v>462</v>
      </c>
      <c r="CR34" s="70">
        <v>430</v>
      </c>
      <c r="CS34" s="70">
        <v>491</v>
      </c>
      <c r="CT34" s="70">
        <v>519</v>
      </c>
      <c r="CU34" s="70">
        <v>497</v>
      </c>
      <c r="CV34" s="70">
        <v>553</v>
      </c>
      <c r="CW34" s="70">
        <v>558</v>
      </c>
      <c r="CX34" s="70">
        <v>459</v>
      </c>
      <c r="CY34" s="70">
        <v>453</v>
      </c>
      <c r="CZ34" s="70">
        <v>510</v>
      </c>
      <c r="DA34" s="70">
        <v>481</v>
      </c>
      <c r="DB34" s="70">
        <v>451</v>
      </c>
      <c r="DC34" s="70">
        <v>482</v>
      </c>
      <c r="DD34" s="70">
        <v>462</v>
      </c>
      <c r="DE34" s="70">
        <v>536</v>
      </c>
      <c r="DF34" s="70">
        <v>510</v>
      </c>
      <c r="DG34" s="70">
        <v>521</v>
      </c>
      <c r="DH34" s="70">
        <v>575</v>
      </c>
      <c r="DI34" s="70">
        <v>575</v>
      </c>
      <c r="DJ34" s="70">
        <v>487</v>
      </c>
      <c r="DK34" s="70">
        <v>479</v>
      </c>
      <c r="DL34" s="46">
        <v>560</v>
      </c>
      <c r="DM34" s="46">
        <v>486</v>
      </c>
      <c r="DN34" s="46">
        <v>493</v>
      </c>
      <c r="DO34" s="46">
        <v>435</v>
      </c>
      <c r="DP34" s="46">
        <v>461</v>
      </c>
      <c r="DQ34" s="46">
        <v>514</v>
      </c>
      <c r="DR34" s="46">
        <v>552</v>
      </c>
      <c r="DS34" s="46">
        <v>568</v>
      </c>
      <c r="DT34" s="46">
        <v>656</v>
      </c>
      <c r="DU34" s="46">
        <v>667</v>
      </c>
      <c r="DV34" s="46">
        <v>612</v>
      </c>
      <c r="DW34" s="46">
        <v>637</v>
      </c>
      <c r="DX34" s="46">
        <v>598</v>
      </c>
      <c r="DY34" s="46">
        <v>656</v>
      </c>
      <c r="DZ34" s="46">
        <v>613</v>
      </c>
      <c r="EA34" s="46">
        <v>608</v>
      </c>
      <c r="EB34" s="46">
        <v>575</v>
      </c>
      <c r="EC34" s="46">
        <v>601</v>
      </c>
      <c r="ED34" s="46">
        <v>620</v>
      </c>
      <c r="EE34" s="46">
        <v>591</v>
      </c>
      <c r="EF34" s="46">
        <v>637</v>
      </c>
      <c r="EG34" s="46">
        <v>673</v>
      </c>
      <c r="EH34" s="46">
        <v>615</v>
      </c>
      <c r="EI34" s="46">
        <v>606</v>
      </c>
      <c r="EJ34" s="46">
        <v>583</v>
      </c>
      <c r="EK34" s="46">
        <v>626</v>
      </c>
      <c r="EL34" s="46">
        <v>591</v>
      </c>
      <c r="EM34" s="46">
        <v>598</v>
      </c>
      <c r="EN34" s="46">
        <v>513</v>
      </c>
      <c r="EO34" s="46">
        <v>534</v>
      </c>
      <c r="EP34" s="46">
        <v>206</v>
      </c>
      <c r="EQ34" s="46">
        <v>158</v>
      </c>
      <c r="ER34" s="46">
        <v>206</v>
      </c>
      <c r="ES34" s="46">
        <v>172</v>
      </c>
      <c r="ET34" s="46">
        <v>1894</v>
      </c>
      <c r="EU34" s="46">
        <v>1800</v>
      </c>
      <c r="EV34" s="46">
        <v>1645</v>
      </c>
      <c r="EW34" s="46">
        <v>570</v>
      </c>
      <c r="EX34" s="71">
        <v>1566.4399089482913</v>
      </c>
      <c r="EY34" s="71">
        <v>1567.3208342305209</v>
      </c>
      <c r="EZ34" s="71">
        <v>1568.2017595127504</v>
      </c>
      <c r="FA34" s="71">
        <v>1569.08268479498</v>
      </c>
      <c r="FB34" s="71">
        <v>1569.9636100772095</v>
      </c>
      <c r="FC34" s="71">
        <v>1570.8445353594391</v>
      </c>
      <c r="FD34" s="71">
        <v>1571.7254606416682</v>
      </c>
      <c r="FE34" s="71">
        <v>1572.606385923898</v>
      </c>
      <c r="FF34" s="72">
        <v>364815</v>
      </c>
      <c r="FG34" s="72">
        <v>368886</v>
      </c>
      <c r="FH34" s="476">
        <v>372752</v>
      </c>
      <c r="FI34" s="476">
        <v>376740.42800000001</v>
      </c>
      <c r="FJ34" s="476">
        <v>380843.88799999998</v>
      </c>
      <c r="FK34" s="476">
        <v>385207.64199999999</v>
      </c>
    </row>
    <row r="35" spans="1:167">
      <c r="A35" s="73" t="s">
        <v>939</v>
      </c>
      <c r="B35" s="19" t="s">
        <v>940</v>
      </c>
      <c r="C35" s="74" t="s">
        <v>680</v>
      </c>
      <c r="D35" s="75" t="s">
        <v>136</v>
      </c>
      <c r="E35" s="76">
        <v>695</v>
      </c>
      <c r="F35" s="77">
        <v>720</v>
      </c>
      <c r="G35" s="410">
        <v>655</v>
      </c>
      <c r="H35" s="78">
        <v>103565</v>
      </c>
      <c r="I35" s="77">
        <v>107560</v>
      </c>
      <c r="J35" s="410">
        <v>110431</v>
      </c>
      <c r="K35" s="410">
        <v>113426.69399999999</v>
      </c>
      <c r="L35" s="418">
        <v>115811.738</v>
      </c>
      <c r="M35" s="79">
        <v>669.1</v>
      </c>
      <c r="N35" s="80">
        <v>670.3</v>
      </c>
      <c r="O35" s="421">
        <v>609.9</v>
      </c>
      <c r="P35" s="71">
        <v>695</v>
      </c>
      <c r="Q35" s="75" t="s">
        <v>136</v>
      </c>
      <c r="R35" s="81">
        <v>330</v>
      </c>
      <c r="S35" s="77">
        <v>310</v>
      </c>
      <c r="T35" s="452">
        <v>375</v>
      </c>
      <c r="U35" s="77">
        <v>375</v>
      </c>
      <c r="V35" s="77">
        <v>370</v>
      </c>
      <c r="W35" s="452">
        <v>415</v>
      </c>
      <c r="X35" s="82">
        <v>87.5</v>
      </c>
      <c r="Y35" s="83">
        <v>84.3</v>
      </c>
      <c r="Z35" s="443">
        <v>89.7</v>
      </c>
      <c r="AA35" s="63">
        <v>330</v>
      </c>
      <c r="AB35" s="63">
        <v>375</v>
      </c>
      <c r="AC35" s="19" t="s">
        <v>136</v>
      </c>
      <c r="AD35" s="84">
        <v>1300</v>
      </c>
      <c r="AE35" s="85">
        <v>1368</v>
      </c>
      <c r="AF35" s="85">
        <v>1419</v>
      </c>
      <c r="AG35" s="85">
        <v>1200</v>
      </c>
      <c r="AH35" s="85">
        <v>1102</v>
      </c>
      <c r="AI35" s="85">
        <v>764</v>
      </c>
      <c r="AJ35" s="85">
        <v>772</v>
      </c>
      <c r="AK35" s="85">
        <v>793</v>
      </c>
      <c r="AL35" s="85">
        <v>666</v>
      </c>
      <c r="AM35" s="85">
        <v>846</v>
      </c>
      <c r="AN35" s="85">
        <v>1460</v>
      </c>
      <c r="AO35" s="85">
        <v>1442</v>
      </c>
      <c r="AP35" s="85">
        <v>1792</v>
      </c>
      <c r="AQ35" s="85">
        <v>1236</v>
      </c>
      <c r="AR35" s="85">
        <v>1270</v>
      </c>
      <c r="AS35" s="85">
        <v>1414</v>
      </c>
      <c r="AT35" s="85">
        <v>1690</v>
      </c>
      <c r="AU35" s="85">
        <v>1495</v>
      </c>
      <c r="AV35" s="85">
        <v>1274</v>
      </c>
      <c r="AW35" s="85">
        <v>2377</v>
      </c>
      <c r="AX35" s="86">
        <v>1976</v>
      </c>
      <c r="AY35" s="86">
        <v>2032</v>
      </c>
      <c r="AZ35" s="86">
        <v>1811</v>
      </c>
      <c r="BA35" s="86">
        <v>1962</v>
      </c>
      <c r="BB35" s="86">
        <v>2019</v>
      </c>
      <c r="BC35" s="86">
        <v>1906</v>
      </c>
      <c r="BD35" s="86">
        <v>2216</v>
      </c>
      <c r="BE35" s="86">
        <v>2355</v>
      </c>
      <c r="BF35" s="86">
        <v>1890</v>
      </c>
      <c r="BG35" s="86">
        <v>1843</v>
      </c>
      <c r="BH35" s="86">
        <v>1389</v>
      </c>
      <c r="BI35" s="86">
        <v>1137</v>
      </c>
      <c r="BJ35" s="86">
        <v>1094</v>
      </c>
      <c r="BK35" s="86">
        <v>1182</v>
      </c>
      <c r="BL35" s="86">
        <v>1084</v>
      </c>
      <c r="BM35" s="86">
        <v>856</v>
      </c>
      <c r="BN35" s="86">
        <v>1064</v>
      </c>
      <c r="BO35" s="86">
        <v>954</v>
      </c>
      <c r="BP35" s="86">
        <v>989</v>
      </c>
      <c r="BQ35" s="86">
        <v>778</v>
      </c>
      <c r="BR35" s="85">
        <v>1140</v>
      </c>
      <c r="BS35" s="85">
        <v>906</v>
      </c>
      <c r="BT35" s="85">
        <v>794</v>
      </c>
      <c r="BU35" s="85">
        <v>885</v>
      </c>
      <c r="BV35" s="67">
        <v>3360</v>
      </c>
      <c r="BW35" s="67">
        <v>2874</v>
      </c>
      <c r="BX35" s="67">
        <v>2907</v>
      </c>
      <c r="BY35" s="67">
        <v>2585</v>
      </c>
      <c r="BZ35" s="68">
        <v>3910.4412262156447</v>
      </c>
      <c r="CA35" s="68">
        <v>3887.9076109936573</v>
      </c>
      <c r="CB35" s="68">
        <v>3865.3739957716707</v>
      </c>
      <c r="CC35" s="68">
        <v>3842.8403805496828</v>
      </c>
      <c r="CD35" s="68">
        <v>3820.3067653276958</v>
      </c>
      <c r="CE35" s="68">
        <v>3797.7731501057078</v>
      </c>
      <c r="CF35" s="68">
        <v>3775.2395348837213</v>
      </c>
      <c r="CG35" s="68">
        <v>3752.7059196617338</v>
      </c>
      <c r="CH35" s="87">
        <v>404600</v>
      </c>
      <c r="CI35" s="467">
        <v>404065</v>
      </c>
      <c r="CJ35" s="467">
        <v>404910.01200000022</v>
      </c>
      <c r="CK35" s="467">
        <v>405376.60000000033</v>
      </c>
      <c r="CL35" s="468">
        <v>405650.75199999998</v>
      </c>
      <c r="CM35" s="19" t="s">
        <v>136</v>
      </c>
      <c r="CN35" s="70">
        <v>969</v>
      </c>
      <c r="CO35" s="70">
        <v>911</v>
      </c>
      <c r="CP35" s="70">
        <v>907</v>
      </c>
      <c r="CQ35" s="70">
        <v>871</v>
      </c>
      <c r="CR35" s="70">
        <v>754</v>
      </c>
      <c r="CS35" s="70">
        <v>808</v>
      </c>
      <c r="CT35" s="70">
        <v>1039</v>
      </c>
      <c r="CU35" s="70">
        <v>958</v>
      </c>
      <c r="CV35" s="70">
        <v>1177</v>
      </c>
      <c r="CW35" s="70">
        <v>960</v>
      </c>
      <c r="CX35" s="70">
        <v>858</v>
      </c>
      <c r="CY35" s="70">
        <v>891</v>
      </c>
      <c r="CZ35" s="70">
        <v>853</v>
      </c>
      <c r="DA35" s="70">
        <v>879</v>
      </c>
      <c r="DB35" s="70">
        <v>729</v>
      </c>
      <c r="DC35" s="70">
        <v>794</v>
      </c>
      <c r="DD35" s="70">
        <v>761</v>
      </c>
      <c r="DE35" s="70">
        <v>851</v>
      </c>
      <c r="DF35" s="70">
        <v>915</v>
      </c>
      <c r="DG35" s="70">
        <v>914</v>
      </c>
      <c r="DH35" s="70">
        <v>1295</v>
      </c>
      <c r="DI35" s="70">
        <v>1080</v>
      </c>
      <c r="DJ35" s="70">
        <v>861</v>
      </c>
      <c r="DK35" s="70">
        <v>960</v>
      </c>
      <c r="DL35" s="46">
        <v>952</v>
      </c>
      <c r="DM35" s="46">
        <v>883</v>
      </c>
      <c r="DN35" s="46">
        <v>826</v>
      </c>
      <c r="DO35" s="46">
        <v>804</v>
      </c>
      <c r="DP35" s="46">
        <v>820</v>
      </c>
      <c r="DQ35" s="46">
        <v>816</v>
      </c>
      <c r="DR35" s="46">
        <v>862</v>
      </c>
      <c r="DS35" s="46">
        <v>892</v>
      </c>
      <c r="DT35" s="46">
        <v>1074</v>
      </c>
      <c r="DU35" s="46">
        <v>1034</v>
      </c>
      <c r="DV35" s="46">
        <v>1016</v>
      </c>
      <c r="DW35" s="46">
        <v>954</v>
      </c>
      <c r="DX35" s="46">
        <v>937</v>
      </c>
      <c r="DY35" s="46">
        <v>984</v>
      </c>
      <c r="DZ35" s="46">
        <v>895</v>
      </c>
      <c r="EA35" s="46">
        <v>954</v>
      </c>
      <c r="EB35" s="46">
        <v>956</v>
      </c>
      <c r="EC35" s="46">
        <v>947</v>
      </c>
      <c r="ED35" s="46">
        <v>1061</v>
      </c>
      <c r="EE35" s="46">
        <v>1024</v>
      </c>
      <c r="EF35" s="46">
        <v>1279</v>
      </c>
      <c r="EG35" s="46">
        <v>1176</v>
      </c>
      <c r="EH35" s="46">
        <v>941</v>
      </c>
      <c r="EI35" s="46">
        <v>1063</v>
      </c>
      <c r="EJ35" s="46">
        <v>1121</v>
      </c>
      <c r="EK35" s="46">
        <v>1057</v>
      </c>
      <c r="EL35" s="46">
        <v>931</v>
      </c>
      <c r="EM35" s="46">
        <v>1053</v>
      </c>
      <c r="EN35" s="46">
        <v>915</v>
      </c>
      <c r="EO35" s="46">
        <v>993</v>
      </c>
      <c r="EP35" s="46">
        <v>1084</v>
      </c>
      <c r="EQ35" s="46">
        <v>1134</v>
      </c>
      <c r="ER35" s="46">
        <v>1279</v>
      </c>
      <c r="ES35" s="46">
        <v>1066</v>
      </c>
      <c r="ET35" s="46">
        <v>3180</v>
      </c>
      <c r="EU35" s="46">
        <v>3109</v>
      </c>
      <c r="EV35" s="46">
        <v>2961</v>
      </c>
      <c r="EW35" s="46">
        <v>3497</v>
      </c>
      <c r="EX35" s="71">
        <v>3241.6102310129504</v>
      </c>
      <c r="EY35" s="71">
        <v>3274.5217324433233</v>
      </c>
      <c r="EZ35" s="71">
        <v>3307.4332338736967</v>
      </c>
      <c r="FA35" s="71">
        <v>3340.3447353040701</v>
      </c>
      <c r="FB35" s="71">
        <v>3373.2562367344426</v>
      </c>
      <c r="FC35" s="71">
        <v>3406.167738164816</v>
      </c>
      <c r="FD35" s="71">
        <v>3439.0792395951894</v>
      </c>
      <c r="FE35" s="71">
        <v>3471.9907410255619</v>
      </c>
      <c r="FF35" s="72">
        <v>499817</v>
      </c>
      <c r="FG35" s="72">
        <v>499104</v>
      </c>
      <c r="FH35" s="476">
        <v>498070</v>
      </c>
      <c r="FI35" s="476">
        <v>498099.62300000002</v>
      </c>
      <c r="FJ35" s="476">
        <v>497857.397</v>
      </c>
      <c r="FK35" s="476">
        <v>497737.63100000005</v>
      </c>
    </row>
    <row r="36" spans="1:167">
      <c r="A36" s="73" t="s">
        <v>935</v>
      </c>
      <c r="B36" s="19" t="s">
        <v>936</v>
      </c>
      <c r="C36" s="74" t="s">
        <v>681</v>
      </c>
      <c r="D36" s="75" t="s">
        <v>139</v>
      </c>
      <c r="E36" s="76">
        <v>180</v>
      </c>
      <c r="F36" s="77">
        <v>190</v>
      </c>
      <c r="G36" s="410">
        <v>205</v>
      </c>
      <c r="H36" s="78">
        <v>18570</v>
      </c>
      <c r="I36" s="77">
        <v>19225</v>
      </c>
      <c r="J36" s="410">
        <v>19648</v>
      </c>
      <c r="K36" s="410">
        <v>20138.193000000003</v>
      </c>
      <c r="L36" s="418">
        <v>20530.484</v>
      </c>
      <c r="M36" s="79">
        <v>958.5</v>
      </c>
      <c r="N36" s="80">
        <v>988.4</v>
      </c>
      <c r="O36" s="421">
        <v>1076.8</v>
      </c>
      <c r="P36" s="71">
        <v>168</v>
      </c>
      <c r="Q36" s="75" t="s">
        <v>139</v>
      </c>
      <c r="R36" s="81">
        <v>100</v>
      </c>
      <c r="S36" s="77">
        <v>275</v>
      </c>
      <c r="T36" s="452">
        <v>120</v>
      </c>
      <c r="U36" s="77">
        <v>135</v>
      </c>
      <c r="V36" s="77">
        <v>300</v>
      </c>
      <c r="W36" s="452">
        <v>150</v>
      </c>
      <c r="X36" s="82">
        <v>72.8</v>
      </c>
      <c r="Y36" s="83">
        <v>90.4</v>
      </c>
      <c r="Z36" s="443">
        <v>81.2</v>
      </c>
      <c r="AA36" s="63">
        <v>384</v>
      </c>
      <c r="AB36" s="63">
        <v>405</v>
      </c>
      <c r="AC36" s="19" t="s">
        <v>139</v>
      </c>
      <c r="AD36" s="84">
        <v>95</v>
      </c>
      <c r="AE36" s="85">
        <v>120</v>
      </c>
      <c r="AF36" s="85">
        <v>93</v>
      </c>
      <c r="AG36" s="85">
        <v>115</v>
      </c>
      <c r="AH36" s="85">
        <v>93</v>
      </c>
      <c r="AI36" s="85">
        <v>186</v>
      </c>
      <c r="AJ36" s="85">
        <v>109</v>
      </c>
      <c r="AK36" s="85">
        <v>77</v>
      </c>
      <c r="AL36" s="85">
        <v>383</v>
      </c>
      <c r="AM36" s="85">
        <v>493</v>
      </c>
      <c r="AN36" s="85">
        <v>461</v>
      </c>
      <c r="AO36" s="85">
        <v>383</v>
      </c>
      <c r="AP36" s="85">
        <v>422</v>
      </c>
      <c r="AQ36" s="85">
        <v>575</v>
      </c>
      <c r="AR36" s="85">
        <v>358</v>
      </c>
      <c r="AS36" s="85">
        <v>451</v>
      </c>
      <c r="AT36" s="85">
        <v>489</v>
      </c>
      <c r="AU36" s="85">
        <v>482</v>
      </c>
      <c r="AV36" s="85">
        <v>406</v>
      </c>
      <c r="AW36" s="85">
        <v>419</v>
      </c>
      <c r="AX36" s="86">
        <v>386</v>
      </c>
      <c r="AY36" s="86">
        <v>539</v>
      </c>
      <c r="AZ36" s="86">
        <v>445</v>
      </c>
      <c r="BA36" s="86">
        <v>437</v>
      </c>
      <c r="BB36" s="86">
        <v>510</v>
      </c>
      <c r="BC36" s="86">
        <v>361</v>
      </c>
      <c r="BD36" s="86">
        <v>576</v>
      </c>
      <c r="BE36" s="86">
        <v>546</v>
      </c>
      <c r="BF36" s="86">
        <v>323</v>
      </c>
      <c r="BG36" s="86">
        <v>388</v>
      </c>
      <c r="BH36" s="86">
        <v>430</v>
      </c>
      <c r="BI36" s="86">
        <v>441</v>
      </c>
      <c r="BJ36" s="86">
        <v>365</v>
      </c>
      <c r="BK36" s="86">
        <v>474</v>
      </c>
      <c r="BL36" s="86">
        <v>318</v>
      </c>
      <c r="BM36" s="86">
        <v>401</v>
      </c>
      <c r="BN36" s="86">
        <v>514</v>
      </c>
      <c r="BO36" s="86">
        <v>469</v>
      </c>
      <c r="BP36" s="86">
        <v>562</v>
      </c>
      <c r="BQ36" s="86">
        <v>314</v>
      </c>
      <c r="BR36" s="85">
        <v>357</v>
      </c>
      <c r="BS36" s="85">
        <v>487</v>
      </c>
      <c r="BT36" s="85">
        <v>332</v>
      </c>
      <c r="BU36" s="85">
        <v>392</v>
      </c>
      <c r="BV36" s="67">
        <v>1157</v>
      </c>
      <c r="BW36" s="67">
        <v>1384</v>
      </c>
      <c r="BX36" s="67">
        <v>1233</v>
      </c>
      <c r="BY36" s="67">
        <v>1211</v>
      </c>
      <c r="BZ36" s="68">
        <v>1548.3065539112051</v>
      </c>
      <c r="CA36" s="68">
        <v>1601.6754756871037</v>
      </c>
      <c r="CB36" s="68">
        <v>1655.0443974630023</v>
      </c>
      <c r="CC36" s="68">
        <v>1708.4133192389008</v>
      </c>
      <c r="CD36" s="68">
        <v>1761.7822410147994</v>
      </c>
      <c r="CE36" s="68">
        <v>1815.1511627906975</v>
      </c>
      <c r="CF36" s="68">
        <v>1868.5200845665963</v>
      </c>
      <c r="CG36" s="68">
        <v>1921.8890063424947</v>
      </c>
      <c r="CH36" s="87">
        <v>82500</v>
      </c>
      <c r="CI36" s="467">
        <v>82637</v>
      </c>
      <c r="CJ36" s="467">
        <v>82787.765999999989</v>
      </c>
      <c r="CK36" s="467">
        <v>83011.332000000009</v>
      </c>
      <c r="CL36" s="468">
        <v>83259.788</v>
      </c>
      <c r="CM36" s="19" t="s">
        <v>139</v>
      </c>
      <c r="CN36" s="70">
        <v>206</v>
      </c>
      <c r="CO36" s="70">
        <v>176</v>
      </c>
      <c r="CP36" s="70">
        <v>204</v>
      </c>
      <c r="CQ36" s="70">
        <v>169</v>
      </c>
      <c r="CR36" s="70">
        <v>187</v>
      </c>
      <c r="CS36" s="70">
        <v>192</v>
      </c>
      <c r="CT36" s="70">
        <v>228</v>
      </c>
      <c r="CU36" s="70">
        <v>227</v>
      </c>
      <c r="CV36" s="70">
        <v>225</v>
      </c>
      <c r="CW36" s="70">
        <v>224</v>
      </c>
      <c r="CX36" s="70">
        <v>210</v>
      </c>
      <c r="CY36" s="70">
        <v>233</v>
      </c>
      <c r="CZ36" s="70">
        <v>242</v>
      </c>
      <c r="DA36" s="70">
        <v>238</v>
      </c>
      <c r="DB36" s="70">
        <v>200</v>
      </c>
      <c r="DC36" s="70">
        <v>208</v>
      </c>
      <c r="DD36" s="70">
        <v>181</v>
      </c>
      <c r="DE36" s="70">
        <v>207</v>
      </c>
      <c r="DF36" s="70">
        <v>216</v>
      </c>
      <c r="DG36" s="70">
        <v>210</v>
      </c>
      <c r="DH36" s="70">
        <v>347</v>
      </c>
      <c r="DI36" s="70">
        <v>290</v>
      </c>
      <c r="DJ36" s="70">
        <v>265</v>
      </c>
      <c r="DK36" s="70">
        <v>281</v>
      </c>
      <c r="DL36" s="46">
        <v>238</v>
      </c>
      <c r="DM36" s="46">
        <v>238</v>
      </c>
      <c r="DN36" s="46">
        <v>213</v>
      </c>
      <c r="DO36" s="46">
        <v>198</v>
      </c>
      <c r="DP36" s="46">
        <v>204</v>
      </c>
      <c r="DQ36" s="46">
        <v>188</v>
      </c>
      <c r="DR36" s="46">
        <v>217</v>
      </c>
      <c r="DS36" s="46">
        <v>246</v>
      </c>
      <c r="DT36" s="46">
        <v>297</v>
      </c>
      <c r="DU36" s="46">
        <v>261</v>
      </c>
      <c r="DV36" s="46">
        <v>282</v>
      </c>
      <c r="DW36" s="46">
        <v>251</v>
      </c>
      <c r="DX36" s="46">
        <v>238</v>
      </c>
      <c r="DY36" s="46">
        <v>261</v>
      </c>
      <c r="DZ36" s="46">
        <v>224</v>
      </c>
      <c r="EA36" s="46">
        <v>233</v>
      </c>
      <c r="EB36" s="46">
        <v>214</v>
      </c>
      <c r="EC36" s="46">
        <v>229</v>
      </c>
      <c r="ED36" s="46">
        <v>240</v>
      </c>
      <c r="EE36" s="46">
        <v>251</v>
      </c>
      <c r="EF36" s="46">
        <v>303</v>
      </c>
      <c r="EG36" s="46">
        <v>247</v>
      </c>
      <c r="EH36" s="46">
        <v>219</v>
      </c>
      <c r="EI36" s="46">
        <v>247</v>
      </c>
      <c r="EJ36" s="46">
        <v>260</v>
      </c>
      <c r="EK36" s="46">
        <v>214</v>
      </c>
      <c r="EL36" s="46">
        <v>209</v>
      </c>
      <c r="EM36" s="46">
        <v>228</v>
      </c>
      <c r="EN36" s="46">
        <v>217</v>
      </c>
      <c r="EO36" s="46">
        <v>198</v>
      </c>
      <c r="EP36" s="46">
        <v>249</v>
      </c>
      <c r="EQ36" s="46">
        <v>256</v>
      </c>
      <c r="ER36" s="46">
        <v>251</v>
      </c>
      <c r="ES36" s="46">
        <v>150</v>
      </c>
      <c r="ET36" s="46">
        <v>713</v>
      </c>
      <c r="EU36" s="46">
        <v>683</v>
      </c>
      <c r="EV36" s="46">
        <v>643</v>
      </c>
      <c r="EW36" s="46">
        <v>756</v>
      </c>
      <c r="EX36" s="71">
        <v>736.21498661909004</v>
      </c>
      <c r="EY36" s="71">
        <v>740.4953089913563</v>
      </c>
      <c r="EZ36" s="71">
        <v>744.77563136362244</v>
      </c>
      <c r="FA36" s="71">
        <v>749.05595373588858</v>
      </c>
      <c r="FB36" s="71">
        <v>753.33627610815472</v>
      </c>
      <c r="FC36" s="71">
        <v>757.61659848042086</v>
      </c>
      <c r="FD36" s="71">
        <v>761.89692085268689</v>
      </c>
      <c r="FE36" s="71">
        <v>766.17724322495314</v>
      </c>
      <c r="FF36" s="72">
        <v>105584</v>
      </c>
      <c r="FG36" s="72">
        <v>105248</v>
      </c>
      <c r="FH36" s="476">
        <v>105396</v>
      </c>
      <c r="FI36" s="476">
        <v>105414.38800000001</v>
      </c>
      <c r="FJ36" s="476">
        <v>105571.302</v>
      </c>
      <c r="FK36" s="476">
        <v>105746.304</v>
      </c>
    </row>
    <row r="37" spans="1:167">
      <c r="A37" s="73" t="s">
        <v>941</v>
      </c>
      <c r="B37" s="19" t="s">
        <v>942</v>
      </c>
      <c r="C37" s="74" t="s">
        <v>682</v>
      </c>
      <c r="D37" s="75" t="s">
        <v>143</v>
      </c>
      <c r="E37" s="76">
        <v>215</v>
      </c>
      <c r="F37" s="77">
        <v>220</v>
      </c>
      <c r="G37" s="410">
        <v>240</v>
      </c>
      <c r="H37" s="78">
        <v>37895</v>
      </c>
      <c r="I37" s="77">
        <v>38865</v>
      </c>
      <c r="J37" s="410">
        <v>39615</v>
      </c>
      <c r="K37" s="410">
        <v>40184.673999999999</v>
      </c>
      <c r="L37" s="418">
        <v>40742.511000000006</v>
      </c>
      <c r="M37" s="79">
        <v>570</v>
      </c>
      <c r="N37" s="80">
        <v>568.70000000000005</v>
      </c>
      <c r="O37" s="421">
        <v>617.6</v>
      </c>
      <c r="P37" s="71">
        <v>220</v>
      </c>
      <c r="Q37" s="75" t="s">
        <v>143</v>
      </c>
      <c r="R37" s="81">
        <v>145</v>
      </c>
      <c r="S37" s="77">
        <v>130</v>
      </c>
      <c r="T37" s="452">
        <v>170</v>
      </c>
      <c r="U37" s="77">
        <v>165</v>
      </c>
      <c r="V37" s="77">
        <v>140</v>
      </c>
      <c r="W37" s="452">
        <v>190</v>
      </c>
      <c r="X37" s="82">
        <v>89.6</v>
      </c>
      <c r="Y37" s="83">
        <v>95</v>
      </c>
      <c r="Z37" s="443">
        <v>90</v>
      </c>
      <c r="AA37" s="63">
        <v>157</v>
      </c>
      <c r="AB37" s="63">
        <v>185</v>
      </c>
      <c r="AC37" s="19" t="s">
        <v>143</v>
      </c>
      <c r="AD37" s="84">
        <v>374</v>
      </c>
      <c r="AE37" s="85">
        <v>368</v>
      </c>
      <c r="AF37" s="85">
        <v>337</v>
      </c>
      <c r="AG37" s="85">
        <v>343</v>
      </c>
      <c r="AH37" s="85">
        <v>266</v>
      </c>
      <c r="AI37" s="85">
        <v>272</v>
      </c>
      <c r="AJ37" s="85">
        <v>437</v>
      </c>
      <c r="AK37" s="85">
        <v>357</v>
      </c>
      <c r="AL37" s="85">
        <v>354</v>
      </c>
      <c r="AM37" s="85">
        <v>289</v>
      </c>
      <c r="AN37" s="85">
        <v>309</v>
      </c>
      <c r="AO37" s="85">
        <v>526</v>
      </c>
      <c r="AP37" s="85">
        <v>423</v>
      </c>
      <c r="AQ37" s="85">
        <v>464</v>
      </c>
      <c r="AR37" s="85">
        <v>322</v>
      </c>
      <c r="AS37" s="85">
        <v>592</v>
      </c>
      <c r="AT37" s="85">
        <v>456</v>
      </c>
      <c r="AU37" s="85">
        <v>266</v>
      </c>
      <c r="AV37" s="85">
        <v>186</v>
      </c>
      <c r="AW37" s="85">
        <v>297</v>
      </c>
      <c r="AX37" s="86">
        <v>348</v>
      </c>
      <c r="AY37" s="86">
        <v>434</v>
      </c>
      <c r="AZ37" s="86">
        <v>345</v>
      </c>
      <c r="BA37" s="86">
        <v>524</v>
      </c>
      <c r="BB37" s="86">
        <v>499</v>
      </c>
      <c r="BC37" s="86">
        <v>398</v>
      </c>
      <c r="BD37" s="86">
        <v>706</v>
      </c>
      <c r="BE37" s="86">
        <v>572</v>
      </c>
      <c r="BF37" s="86">
        <v>694</v>
      </c>
      <c r="BG37" s="86">
        <v>647</v>
      </c>
      <c r="BH37" s="86">
        <v>406</v>
      </c>
      <c r="BI37" s="86">
        <v>407</v>
      </c>
      <c r="BJ37" s="86">
        <v>547</v>
      </c>
      <c r="BK37" s="86">
        <v>497</v>
      </c>
      <c r="BL37" s="86">
        <v>472</v>
      </c>
      <c r="BM37" s="86">
        <v>390</v>
      </c>
      <c r="BN37" s="86">
        <v>171</v>
      </c>
      <c r="BO37" s="86">
        <v>279</v>
      </c>
      <c r="BP37" s="86">
        <v>215</v>
      </c>
      <c r="BQ37" s="86">
        <v>284</v>
      </c>
      <c r="BR37" s="85">
        <v>207</v>
      </c>
      <c r="BS37" s="85">
        <v>279</v>
      </c>
      <c r="BT37" s="85">
        <v>168</v>
      </c>
      <c r="BU37" s="85">
        <v>256</v>
      </c>
      <c r="BV37" s="67">
        <v>1516</v>
      </c>
      <c r="BW37" s="67">
        <v>840</v>
      </c>
      <c r="BX37" s="67">
        <v>706</v>
      </c>
      <c r="BY37" s="67">
        <v>703</v>
      </c>
      <c r="BZ37" s="68">
        <v>1114.6133192389009</v>
      </c>
      <c r="CA37" s="68">
        <v>1109.0832980972518</v>
      </c>
      <c r="CB37" s="68">
        <v>1103.5532769556025</v>
      </c>
      <c r="CC37" s="68">
        <v>1098.0232558139537</v>
      </c>
      <c r="CD37" s="68">
        <v>1092.4932346723044</v>
      </c>
      <c r="CE37" s="68">
        <v>1086.9632135306556</v>
      </c>
      <c r="CF37" s="68">
        <v>1081.4331923890065</v>
      </c>
      <c r="CG37" s="68">
        <v>1075.9031712473575</v>
      </c>
      <c r="CH37" s="87">
        <v>193100</v>
      </c>
      <c r="CI37" s="467">
        <v>193588</v>
      </c>
      <c r="CJ37" s="467">
        <v>196261.66000000006</v>
      </c>
      <c r="CK37" s="467">
        <v>197895.19400000002</v>
      </c>
      <c r="CL37" s="468">
        <v>199395.22100000008</v>
      </c>
      <c r="CM37" s="19" t="s">
        <v>143</v>
      </c>
      <c r="CN37" s="70">
        <v>384</v>
      </c>
      <c r="CO37" s="70">
        <v>358</v>
      </c>
      <c r="CP37" s="70">
        <v>410</v>
      </c>
      <c r="CQ37" s="70">
        <v>355</v>
      </c>
      <c r="CR37" s="70">
        <v>345</v>
      </c>
      <c r="CS37" s="70">
        <v>392</v>
      </c>
      <c r="CT37" s="70">
        <v>469</v>
      </c>
      <c r="CU37" s="70">
        <v>480</v>
      </c>
      <c r="CV37" s="70">
        <v>598</v>
      </c>
      <c r="CW37" s="70">
        <v>502</v>
      </c>
      <c r="CX37" s="70">
        <v>453</v>
      </c>
      <c r="CY37" s="70">
        <v>447</v>
      </c>
      <c r="CZ37" s="70">
        <v>408</v>
      </c>
      <c r="DA37" s="70">
        <v>423</v>
      </c>
      <c r="DB37" s="70">
        <v>376</v>
      </c>
      <c r="DC37" s="70">
        <v>387</v>
      </c>
      <c r="DD37" s="70">
        <v>378</v>
      </c>
      <c r="DE37" s="70">
        <v>382</v>
      </c>
      <c r="DF37" s="70">
        <v>403</v>
      </c>
      <c r="DG37" s="70">
        <v>405</v>
      </c>
      <c r="DH37" s="70">
        <v>551</v>
      </c>
      <c r="DI37" s="70">
        <v>478</v>
      </c>
      <c r="DJ37" s="70">
        <v>382</v>
      </c>
      <c r="DK37" s="70">
        <v>401</v>
      </c>
      <c r="DL37" s="46">
        <v>404</v>
      </c>
      <c r="DM37" s="46">
        <v>363</v>
      </c>
      <c r="DN37" s="46">
        <v>355</v>
      </c>
      <c r="DO37" s="46">
        <v>393</v>
      </c>
      <c r="DP37" s="46">
        <v>359</v>
      </c>
      <c r="DQ37" s="46">
        <v>384</v>
      </c>
      <c r="DR37" s="46">
        <v>414</v>
      </c>
      <c r="DS37" s="46">
        <v>412</v>
      </c>
      <c r="DT37" s="46">
        <v>521</v>
      </c>
      <c r="DU37" s="46">
        <v>446</v>
      </c>
      <c r="DV37" s="46">
        <v>461</v>
      </c>
      <c r="DW37" s="46">
        <v>438</v>
      </c>
      <c r="DX37" s="46">
        <v>439</v>
      </c>
      <c r="DY37" s="46">
        <v>418</v>
      </c>
      <c r="DZ37" s="46">
        <v>402</v>
      </c>
      <c r="EA37" s="46">
        <v>467</v>
      </c>
      <c r="EB37" s="46">
        <v>403</v>
      </c>
      <c r="EC37" s="46">
        <v>413</v>
      </c>
      <c r="ED37" s="46">
        <v>440</v>
      </c>
      <c r="EE37" s="46">
        <v>452</v>
      </c>
      <c r="EF37" s="46">
        <v>535</v>
      </c>
      <c r="EG37" s="46">
        <v>473</v>
      </c>
      <c r="EH37" s="46">
        <v>445</v>
      </c>
      <c r="EI37" s="46">
        <v>481</v>
      </c>
      <c r="EJ37" s="46">
        <v>412</v>
      </c>
      <c r="EK37" s="46">
        <v>435</v>
      </c>
      <c r="EL37" s="46">
        <v>409</v>
      </c>
      <c r="EM37" s="46">
        <v>403</v>
      </c>
      <c r="EN37" s="46">
        <v>425</v>
      </c>
      <c r="EO37" s="46">
        <v>401</v>
      </c>
      <c r="EP37" s="46">
        <v>453</v>
      </c>
      <c r="EQ37" s="46">
        <v>452</v>
      </c>
      <c r="ER37" s="46">
        <v>542</v>
      </c>
      <c r="ES37" s="46">
        <v>457</v>
      </c>
      <c r="ET37" s="46">
        <v>1399</v>
      </c>
      <c r="EU37" s="46">
        <v>1256</v>
      </c>
      <c r="EV37" s="46">
        <v>1229</v>
      </c>
      <c r="EW37" s="46">
        <v>1447</v>
      </c>
      <c r="EX37" s="71">
        <v>1355.1052323971821</v>
      </c>
      <c r="EY37" s="71">
        <v>1361.4300655203174</v>
      </c>
      <c r="EZ37" s="71">
        <v>1367.7548986434526</v>
      </c>
      <c r="FA37" s="71">
        <v>1374.0797317665877</v>
      </c>
      <c r="FB37" s="71">
        <v>1380.4045648897229</v>
      </c>
      <c r="FC37" s="71">
        <v>1386.7293980128579</v>
      </c>
      <c r="FD37" s="71">
        <v>1393.0542311359932</v>
      </c>
      <c r="FE37" s="71">
        <v>1399.3790642591284</v>
      </c>
      <c r="FF37" s="72">
        <v>248943</v>
      </c>
      <c r="FG37" s="72">
        <v>250568</v>
      </c>
      <c r="FH37" s="476">
        <v>251423</v>
      </c>
      <c r="FI37" s="476">
        <v>254263.89</v>
      </c>
      <c r="FJ37" s="476">
        <v>256130.79300000001</v>
      </c>
      <c r="FK37" s="476">
        <v>258060.57199999999</v>
      </c>
    </row>
    <row r="38" spans="1:167">
      <c r="A38" s="73" t="s">
        <v>941</v>
      </c>
      <c r="B38" s="19" t="s">
        <v>942</v>
      </c>
      <c r="C38" s="74" t="s">
        <v>683</v>
      </c>
      <c r="D38" s="75" t="s">
        <v>146</v>
      </c>
      <c r="E38" s="76">
        <v>1135</v>
      </c>
      <c r="F38" s="77">
        <v>1140</v>
      </c>
      <c r="G38" s="410">
        <v>1110</v>
      </c>
      <c r="H38" s="78">
        <v>144045</v>
      </c>
      <c r="I38" s="77">
        <v>150390</v>
      </c>
      <c r="J38" s="410">
        <v>155117</v>
      </c>
      <c r="K38" s="410">
        <v>159789.66000000018</v>
      </c>
      <c r="L38" s="418">
        <v>163944.34700000007</v>
      </c>
      <c r="M38" s="79">
        <v>787.2</v>
      </c>
      <c r="N38" s="80">
        <v>758</v>
      </c>
      <c r="O38" s="421">
        <v>738.1</v>
      </c>
      <c r="P38" s="71">
        <v>1148</v>
      </c>
      <c r="Q38" s="75" t="s">
        <v>146</v>
      </c>
      <c r="R38" s="81">
        <v>245</v>
      </c>
      <c r="S38" s="77">
        <v>180</v>
      </c>
      <c r="T38" s="452">
        <v>175</v>
      </c>
      <c r="U38" s="77">
        <v>295</v>
      </c>
      <c r="V38" s="77">
        <v>195</v>
      </c>
      <c r="W38" s="452">
        <v>215</v>
      </c>
      <c r="X38" s="82">
        <v>84</v>
      </c>
      <c r="Y38" s="83">
        <v>90.4</v>
      </c>
      <c r="Z38" s="443">
        <v>79.7</v>
      </c>
      <c r="AA38" s="63">
        <v>185</v>
      </c>
      <c r="AB38" s="63">
        <v>197</v>
      </c>
      <c r="AC38" s="19" t="s">
        <v>146</v>
      </c>
      <c r="AD38" s="84">
        <v>2063</v>
      </c>
      <c r="AE38" s="85">
        <v>2473</v>
      </c>
      <c r="AF38" s="85">
        <v>2085</v>
      </c>
      <c r="AG38" s="85">
        <v>2372</v>
      </c>
      <c r="AH38" s="85">
        <v>2637</v>
      </c>
      <c r="AI38" s="85">
        <v>2165</v>
      </c>
      <c r="AJ38" s="85">
        <v>2248</v>
      </c>
      <c r="AK38" s="85">
        <v>2182</v>
      </c>
      <c r="AL38" s="85">
        <v>1994</v>
      </c>
      <c r="AM38" s="85">
        <v>2299</v>
      </c>
      <c r="AN38" s="85">
        <v>2435</v>
      </c>
      <c r="AO38" s="85">
        <v>2183</v>
      </c>
      <c r="AP38" s="85">
        <v>2006</v>
      </c>
      <c r="AQ38" s="85">
        <v>2114</v>
      </c>
      <c r="AR38" s="85">
        <v>2067</v>
      </c>
      <c r="AS38" s="85">
        <v>1632</v>
      </c>
      <c r="AT38" s="85">
        <v>1677</v>
      </c>
      <c r="AU38" s="85">
        <v>1461</v>
      </c>
      <c r="AV38" s="85">
        <v>1321</v>
      </c>
      <c r="AW38" s="85">
        <v>1667</v>
      </c>
      <c r="AX38" s="86">
        <v>1354</v>
      </c>
      <c r="AY38" s="86">
        <v>1696</v>
      </c>
      <c r="AZ38" s="86">
        <v>1243</v>
      </c>
      <c r="BA38" s="86">
        <v>1526</v>
      </c>
      <c r="BB38" s="86">
        <v>1642</v>
      </c>
      <c r="BC38" s="86">
        <v>1637</v>
      </c>
      <c r="BD38" s="86">
        <v>1992</v>
      </c>
      <c r="BE38" s="86">
        <v>1801</v>
      </c>
      <c r="BF38" s="86">
        <v>1572</v>
      </c>
      <c r="BG38" s="86">
        <v>1978</v>
      </c>
      <c r="BH38" s="86">
        <v>1559</v>
      </c>
      <c r="BI38" s="86">
        <v>2122</v>
      </c>
      <c r="BJ38" s="86">
        <v>2356</v>
      </c>
      <c r="BK38" s="86">
        <v>1601</v>
      </c>
      <c r="BL38" s="86">
        <v>1587</v>
      </c>
      <c r="BM38" s="86">
        <v>2144</v>
      </c>
      <c r="BN38" s="86">
        <v>2273</v>
      </c>
      <c r="BO38" s="86">
        <v>2185</v>
      </c>
      <c r="BP38" s="86">
        <v>2316</v>
      </c>
      <c r="BQ38" s="86">
        <v>2497</v>
      </c>
      <c r="BR38" s="85">
        <v>2258</v>
      </c>
      <c r="BS38" s="85">
        <v>2071</v>
      </c>
      <c r="BT38" s="85">
        <v>2069</v>
      </c>
      <c r="BU38" s="85">
        <v>2101</v>
      </c>
      <c r="BV38" s="67">
        <v>5544</v>
      </c>
      <c r="BW38" s="67">
        <v>6602</v>
      </c>
      <c r="BX38" s="67">
        <v>7071</v>
      </c>
      <c r="BY38" s="67">
        <v>6241</v>
      </c>
      <c r="BZ38" s="68">
        <v>5663.8822410147995</v>
      </c>
      <c r="CA38" s="68">
        <v>5632.6283298097251</v>
      </c>
      <c r="CB38" s="68">
        <v>5601.3744186046515</v>
      </c>
      <c r="CC38" s="68">
        <v>5570.120507399577</v>
      </c>
      <c r="CD38" s="68">
        <v>5538.8665961945026</v>
      </c>
      <c r="CE38" s="68">
        <v>5507.612684989429</v>
      </c>
      <c r="CF38" s="68">
        <v>5476.3587737843554</v>
      </c>
      <c r="CG38" s="68">
        <v>5445.104862579281</v>
      </c>
      <c r="CH38" s="87">
        <v>617700</v>
      </c>
      <c r="CI38" s="467">
        <v>621361</v>
      </c>
      <c r="CJ38" s="467">
        <v>625156.31699999911</v>
      </c>
      <c r="CK38" s="467">
        <v>629000.9329999995</v>
      </c>
      <c r="CL38" s="468">
        <v>632781.14200000023</v>
      </c>
      <c r="CM38" s="19" t="s">
        <v>146</v>
      </c>
      <c r="CN38" s="70">
        <v>1226</v>
      </c>
      <c r="CO38" s="70">
        <v>1258</v>
      </c>
      <c r="CP38" s="70">
        <v>1201</v>
      </c>
      <c r="CQ38" s="70">
        <v>1144</v>
      </c>
      <c r="CR38" s="70">
        <v>1123</v>
      </c>
      <c r="CS38" s="70">
        <v>1230</v>
      </c>
      <c r="CT38" s="70">
        <v>1383</v>
      </c>
      <c r="CU38" s="70">
        <v>1492</v>
      </c>
      <c r="CV38" s="70">
        <v>1647</v>
      </c>
      <c r="CW38" s="70">
        <v>1400</v>
      </c>
      <c r="CX38" s="70">
        <v>1310</v>
      </c>
      <c r="CY38" s="70">
        <v>1437</v>
      </c>
      <c r="CZ38" s="70">
        <v>1357</v>
      </c>
      <c r="DA38" s="70">
        <v>1293</v>
      </c>
      <c r="DB38" s="70">
        <v>1186</v>
      </c>
      <c r="DC38" s="70">
        <v>1197</v>
      </c>
      <c r="DD38" s="70">
        <v>1187</v>
      </c>
      <c r="DE38" s="70">
        <v>1214</v>
      </c>
      <c r="DF38" s="70">
        <v>1343</v>
      </c>
      <c r="DG38" s="70">
        <v>1353</v>
      </c>
      <c r="DH38" s="70">
        <v>1685</v>
      </c>
      <c r="DI38" s="70">
        <v>1654</v>
      </c>
      <c r="DJ38" s="70">
        <v>1385</v>
      </c>
      <c r="DK38" s="70">
        <v>1354</v>
      </c>
      <c r="DL38" s="46">
        <v>1389</v>
      </c>
      <c r="DM38" s="46">
        <v>1234</v>
      </c>
      <c r="DN38" s="46">
        <v>1161</v>
      </c>
      <c r="DO38" s="46">
        <v>1211</v>
      </c>
      <c r="DP38" s="46">
        <v>1312</v>
      </c>
      <c r="DQ38" s="46">
        <v>1274</v>
      </c>
      <c r="DR38" s="46">
        <v>1289</v>
      </c>
      <c r="DS38" s="46">
        <v>1346</v>
      </c>
      <c r="DT38" s="46">
        <v>1616</v>
      </c>
      <c r="DU38" s="46">
        <v>1574</v>
      </c>
      <c r="DV38" s="46">
        <v>1397</v>
      </c>
      <c r="DW38" s="46">
        <v>1341</v>
      </c>
      <c r="DX38" s="46">
        <v>1437</v>
      </c>
      <c r="DY38" s="46">
        <v>1391</v>
      </c>
      <c r="DZ38" s="46">
        <v>1388</v>
      </c>
      <c r="EA38" s="46">
        <v>1453</v>
      </c>
      <c r="EB38" s="46">
        <v>1338</v>
      </c>
      <c r="EC38" s="46">
        <v>1316</v>
      </c>
      <c r="ED38" s="46">
        <v>1484</v>
      </c>
      <c r="EE38" s="46">
        <v>1588</v>
      </c>
      <c r="EF38" s="46">
        <v>1762</v>
      </c>
      <c r="EG38" s="46">
        <v>1599</v>
      </c>
      <c r="EH38" s="46">
        <v>1414</v>
      </c>
      <c r="EI38" s="46">
        <v>1594</v>
      </c>
      <c r="EJ38" s="46">
        <v>1532</v>
      </c>
      <c r="EK38" s="46">
        <v>1470</v>
      </c>
      <c r="EL38" s="46">
        <v>1371</v>
      </c>
      <c r="EM38" s="46">
        <v>1395</v>
      </c>
      <c r="EN38" s="46">
        <v>1361</v>
      </c>
      <c r="EO38" s="46">
        <v>1350</v>
      </c>
      <c r="EP38" s="46">
        <v>1384</v>
      </c>
      <c r="EQ38" s="46">
        <v>1432</v>
      </c>
      <c r="ER38" s="46">
        <v>1735</v>
      </c>
      <c r="ES38" s="46">
        <v>1431</v>
      </c>
      <c r="ET38" s="46">
        <v>4607</v>
      </c>
      <c r="EU38" s="46">
        <v>4373</v>
      </c>
      <c r="EV38" s="46">
        <v>4106</v>
      </c>
      <c r="EW38" s="46">
        <v>4551</v>
      </c>
      <c r="EX38" s="71">
        <v>4552.0784090559537</v>
      </c>
      <c r="EY38" s="71">
        <v>4588.2638961518351</v>
      </c>
      <c r="EZ38" s="71">
        <v>4624.4493832477156</v>
      </c>
      <c r="FA38" s="71">
        <v>4660.634870343596</v>
      </c>
      <c r="FB38" s="71">
        <v>4696.8203574394784</v>
      </c>
      <c r="FC38" s="71">
        <v>4733.0058445353588</v>
      </c>
      <c r="FD38" s="71">
        <v>4769.1913316312402</v>
      </c>
      <c r="FE38" s="71">
        <v>4805.3768187271216</v>
      </c>
      <c r="FF38" s="72">
        <v>770688</v>
      </c>
      <c r="FG38" s="72">
        <v>773522</v>
      </c>
      <c r="FH38" s="476">
        <v>776160</v>
      </c>
      <c r="FI38" s="476">
        <v>779965.42999999993</v>
      </c>
      <c r="FJ38" s="476">
        <v>783691.3280000001</v>
      </c>
      <c r="FK38" s="476">
        <v>787580.59199999995</v>
      </c>
    </row>
    <row r="39" spans="1:167">
      <c r="A39" s="73" t="s">
        <v>933</v>
      </c>
      <c r="B39" s="19" t="s">
        <v>934</v>
      </c>
      <c r="C39" s="74" t="s">
        <v>684</v>
      </c>
      <c r="D39" s="75" t="s">
        <v>150</v>
      </c>
      <c r="E39" s="76">
        <v>1060</v>
      </c>
      <c r="F39" s="77">
        <v>1105</v>
      </c>
      <c r="G39" s="410">
        <v>980</v>
      </c>
      <c r="H39" s="78">
        <v>169840</v>
      </c>
      <c r="I39" s="77">
        <v>176490</v>
      </c>
      <c r="J39" s="410">
        <v>181600</v>
      </c>
      <c r="K39" s="410">
        <v>186142.57099999997</v>
      </c>
      <c r="L39" s="418">
        <v>190357.33400000015</v>
      </c>
      <c r="M39" s="79">
        <v>625.29999999999995</v>
      </c>
      <c r="N39" s="80">
        <v>625</v>
      </c>
      <c r="O39" s="421">
        <v>556.4</v>
      </c>
      <c r="P39" s="71">
        <v>1105</v>
      </c>
      <c r="Q39" s="75" t="s">
        <v>150</v>
      </c>
      <c r="R39" s="81">
        <v>400</v>
      </c>
      <c r="S39" s="77">
        <v>400</v>
      </c>
      <c r="T39" s="452">
        <v>465</v>
      </c>
      <c r="U39" s="77">
        <v>465</v>
      </c>
      <c r="V39" s="77">
        <v>455</v>
      </c>
      <c r="W39" s="452">
        <v>520</v>
      </c>
      <c r="X39" s="82">
        <v>85.8</v>
      </c>
      <c r="Y39" s="83">
        <v>87.7</v>
      </c>
      <c r="Z39" s="443">
        <v>89.8</v>
      </c>
      <c r="AA39" s="63">
        <v>706</v>
      </c>
      <c r="AB39" s="63">
        <v>866</v>
      </c>
      <c r="AC39" s="19" t="s">
        <v>150</v>
      </c>
      <c r="AD39" s="84">
        <v>2553</v>
      </c>
      <c r="AE39" s="85">
        <v>2788</v>
      </c>
      <c r="AF39" s="85">
        <v>2658</v>
      </c>
      <c r="AG39" s="85">
        <v>2305</v>
      </c>
      <c r="AH39" s="85">
        <v>3008</v>
      </c>
      <c r="AI39" s="85">
        <v>3127</v>
      </c>
      <c r="AJ39" s="85">
        <v>2903</v>
      </c>
      <c r="AK39" s="85">
        <v>3285</v>
      </c>
      <c r="AL39" s="85">
        <v>2672</v>
      </c>
      <c r="AM39" s="85">
        <v>2599</v>
      </c>
      <c r="AN39" s="85">
        <v>2603</v>
      </c>
      <c r="AO39" s="85">
        <v>2506</v>
      </c>
      <c r="AP39" s="85">
        <v>2519</v>
      </c>
      <c r="AQ39" s="85">
        <v>2694</v>
      </c>
      <c r="AR39" s="85">
        <v>2665</v>
      </c>
      <c r="AS39" s="85">
        <v>2864</v>
      </c>
      <c r="AT39" s="85">
        <v>2286</v>
      </c>
      <c r="AU39" s="85">
        <v>2446</v>
      </c>
      <c r="AV39" s="85">
        <v>2338</v>
      </c>
      <c r="AW39" s="85">
        <v>2295</v>
      </c>
      <c r="AX39" s="86">
        <v>2137</v>
      </c>
      <c r="AY39" s="86">
        <v>2194</v>
      </c>
      <c r="AZ39" s="86">
        <v>2313</v>
      </c>
      <c r="BA39" s="86">
        <v>2487</v>
      </c>
      <c r="BB39" s="86">
        <v>2186</v>
      </c>
      <c r="BC39" s="86">
        <v>2597</v>
      </c>
      <c r="BD39" s="86">
        <v>2301</v>
      </c>
      <c r="BE39" s="86">
        <v>2416</v>
      </c>
      <c r="BF39" s="86">
        <v>1589</v>
      </c>
      <c r="BG39" s="86">
        <v>2302</v>
      </c>
      <c r="BH39" s="86">
        <v>2008</v>
      </c>
      <c r="BI39" s="86">
        <v>2067</v>
      </c>
      <c r="BJ39" s="86">
        <v>2080</v>
      </c>
      <c r="BK39" s="86">
        <v>2298</v>
      </c>
      <c r="BL39" s="86">
        <v>2329</v>
      </c>
      <c r="BM39" s="86">
        <v>2205</v>
      </c>
      <c r="BN39" s="86">
        <v>2305</v>
      </c>
      <c r="BO39" s="86">
        <v>2319</v>
      </c>
      <c r="BP39" s="86">
        <v>2349</v>
      </c>
      <c r="BQ39" s="86">
        <v>2117</v>
      </c>
      <c r="BR39" s="85">
        <v>1434</v>
      </c>
      <c r="BS39" s="85">
        <v>2091</v>
      </c>
      <c r="BT39" s="85">
        <v>1906</v>
      </c>
      <c r="BU39" s="85">
        <v>2241</v>
      </c>
      <c r="BV39" s="67">
        <v>6707</v>
      </c>
      <c r="BW39" s="67">
        <v>6829</v>
      </c>
      <c r="BX39" s="67">
        <v>5900</v>
      </c>
      <c r="BY39" s="67">
        <v>6238</v>
      </c>
      <c r="BZ39" s="68">
        <v>5782.6492600422825</v>
      </c>
      <c r="CA39" s="68">
        <v>5603.5822410147994</v>
      </c>
      <c r="CB39" s="68">
        <v>5424.5152219873153</v>
      </c>
      <c r="CC39" s="68">
        <v>5245.4482029598312</v>
      </c>
      <c r="CD39" s="68">
        <v>5066.3811839323471</v>
      </c>
      <c r="CE39" s="68">
        <v>4887.3141649048621</v>
      </c>
      <c r="CF39" s="68">
        <v>4708.247145877378</v>
      </c>
      <c r="CG39" s="68">
        <v>4529.1801268498948</v>
      </c>
      <c r="CH39" s="87">
        <v>612100</v>
      </c>
      <c r="CI39" s="467">
        <v>616507</v>
      </c>
      <c r="CJ39" s="467">
        <v>618201.4019999993</v>
      </c>
      <c r="CK39" s="467">
        <v>621893.41199999989</v>
      </c>
      <c r="CL39" s="468">
        <v>625377.68599999999</v>
      </c>
      <c r="CM39" s="19" t="s">
        <v>150</v>
      </c>
      <c r="CN39" s="70">
        <v>1033</v>
      </c>
      <c r="CO39" s="70">
        <v>958</v>
      </c>
      <c r="CP39" s="70">
        <v>843</v>
      </c>
      <c r="CQ39" s="70">
        <v>835</v>
      </c>
      <c r="CR39" s="70">
        <v>794</v>
      </c>
      <c r="CS39" s="70">
        <v>978</v>
      </c>
      <c r="CT39" s="70">
        <v>1117</v>
      </c>
      <c r="CU39" s="70">
        <v>1013</v>
      </c>
      <c r="CV39" s="70">
        <v>1241</v>
      </c>
      <c r="CW39" s="70">
        <v>1138</v>
      </c>
      <c r="CX39" s="70">
        <v>1019</v>
      </c>
      <c r="CY39" s="70">
        <v>1065</v>
      </c>
      <c r="CZ39" s="70">
        <v>1074</v>
      </c>
      <c r="DA39" s="70">
        <v>952</v>
      </c>
      <c r="DB39" s="70">
        <v>911</v>
      </c>
      <c r="DC39" s="70">
        <v>958</v>
      </c>
      <c r="DD39" s="70">
        <v>963</v>
      </c>
      <c r="DE39" s="70">
        <v>971</v>
      </c>
      <c r="DF39" s="70">
        <v>1007</v>
      </c>
      <c r="DG39" s="70">
        <v>1097</v>
      </c>
      <c r="DH39" s="70">
        <v>1398</v>
      </c>
      <c r="DI39" s="70">
        <v>1232</v>
      </c>
      <c r="DJ39" s="70">
        <v>1058</v>
      </c>
      <c r="DK39" s="70">
        <v>1130</v>
      </c>
      <c r="DL39" s="46">
        <v>1073</v>
      </c>
      <c r="DM39" s="46">
        <v>989</v>
      </c>
      <c r="DN39" s="46">
        <v>968</v>
      </c>
      <c r="DO39" s="46">
        <v>981</v>
      </c>
      <c r="DP39" s="46">
        <v>943</v>
      </c>
      <c r="DQ39" s="46">
        <v>932</v>
      </c>
      <c r="DR39" s="46">
        <v>1011</v>
      </c>
      <c r="DS39" s="46">
        <v>1058</v>
      </c>
      <c r="DT39" s="46">
        <v>1158</v>
      </c>
      <c r="DU39" s="46">
        <v>1173</v>
      </c>
      <c r="DV39" s="46">
        <v>1239</v>
      </c>
      <c r="DW39" s="46">
        <v>1102</v>
      </c>
      <c r="DX39" s="46">
        <v>1082</v>
      </c>
      <c r="DY39" s="46">
        <v>1113</v>
      </c>
      <c r="DZ39" s="46">
        <v>1098</v>
      </c>
      <c r="EA39" s="46">
        <v>1067</v>
      </c>
      <c r="EB39" s="46">
        <v>1034</v>
      </c>
      <c r="EC39" s="46">
        <v>1067</v>
      </c>
      <c r="ED39" s="46">
        <v>1170</v>
      </c>
      <c r="EE39" s="46">
        <v>1158</v>
      </c>
      <c r="EF39" s="46">
        <v>1365</v>
      </c>
      <c r="EG39" s="46">
        <v>1208</v>
      </c>
      <c r="EH39" s="46">
        <v>1042</v>
      </c>
      <c r="EI39" s="46">
        <v>1174</v>
      </c>
      <c r="EJ39" s="46">
        <v>1290</v>
      </c>
      <c r="EK39" s="46">
        <v>1130</v>
      </c>
      <c r="EL39" s="46">
        <v>1011</v>
      </c>
      <c r="EM39" s="46">
        <v>1090</v>
      </c>
      <c r="EN39" s="46">
        <v>1097</v>
      </c>
      <c r="EO39" s="46">
        <v>1135</v>
      </c>
      <c r="EP39" s="46">
        <v>1090</v>
      </c>
      <c r="EQ39" s="46">
        <v>1262</v>
      </c>
      <c r="ER39" s="46">
        <v>1494</v>
      </c>
      <c r="ES39" s="46">
        <v>1116</v>
      </c>
      <c r="ET39" s="46">
        <v>3424</v>
      </c>
      <c r="EU39" s="46">
        <v>3431</v>
      </c>
      <c r="EV39" s="46">
        <v>3322</v>
      </c>
      <c r="EW39" s="46">
        <v>3846</v>
      </c>
      <c r="EX39" s="71">
        <v>3631.6315481866559</v>
      </c>
      <c r="EY39" s="71">
        <v>3667.4718078070682</v>
      </c>
      <c r="EZ39" s="71">
        <v>3703.3120674274815</v>
      </c>
      <c r="FA39" s="71">
        <v>3739.1523270478938</v>
      </c>
      <c r="FB39" s="71">
        <v>3774.992586668307</v>
      </c>
      <c r="FC39" s="71">
        <v>3810.8328462887193</v>
      </c>
      <c r="FD39" s="71">
        <v>3846.673105909133</v>
      </c>
      <c r="FE39" s="71">
        <v>3882.5133655295458</v>
      </c>
      <c r="FF39" s="72">
        <v>747709</v>
      </c>
      <c r="FG39" s="72">
        <v>753157</v>
      </c>
      <c r="FH39" s="476">
        <v>758052</v>
      </c>
      <c r="FI39" s="476">
        <v>760047.97</v>
      </c>
      <c r="FJ39" s="476">
        <v>764130.41899999999</v>
      </c>
      <c r="FK39" s="476">
        <v>768456.72100000014</v>
      </c>
    </row>
    <row r="40" spans="1:167">
      <c r="A40" s="73" t="s">
        <v>901</v>
      </c>
      <c r="B40" s="19" t="s">
        <v>902</v>
      </c>
      <c r="C40" s="74" t="s">
        <v>685</v>
      </c>
      <c r="D40" s="75" t="s">
        <v>154</v>
      </c>
      <c r="E40" s="76">
        <v>475</v>
      </c>
      <c r="F40" s="77">
        <v>400</v>
      </c>
      <c r="G40" s="410">
        <v>420</v>
      </c>
      <c r="H40" s="78">
        <v>51460</v>
      </c>
      <c r="I40" s="77">
        <v>53000</v>
      </c>
      <c r="J40" s="410">
        <v>54281</v>
      </c>
      <c r="K40" s="410">
        <v>55452.97</v>
      </c>
      <c r="L40" s="418">
        <v>56407.101999999992</v>
      </c>
      <c r="M40" s="79">
        <v>921.1</v>
      </c>
      <c r="N40" s="80">
        <v>751</v>
      </c>
      <c r="O40" s="421">
        <v>792.5</v>
      </c>
      <c r="P40" s="71">
        <v>371</v>
      </c>
      <c r="Q40" s="75" t="s">
        <v>154</v>
      </c>
      <c r="R40" s="81">
        <v>80</v>
      </c>
      <c r="S40" s="77">
        <v>105</v>
      </c>
      <c r="T40" s="452">
        <v>145</v>
      </c>
      <c r="U40" s="77">
        <v>135</v>
      </c>
      <c r="V40" s="77">
        <v>150</v>
      </c>
      <c r="W40" s="452">
        <v>190</v>
      </c>
      <c r="X40" s="82">
        <v>56.9</v>
      </c>
      <c r="Y40" s="83">
        <v>69.3</v>
      </c>
      <c r="Z40" s="443">
        <v>77</v>
      </c>
      <c r="AA40" s="63">
        <v>122</v>
      </c>
      <c r="AB40" s="63">
        <v>157</v>
      </c>
      <c r="AC40" s="19" t="s">
        <v>154</v>
      </c>
      <c r="AD40" s="84">
        <v>783</v>
      </c>
      <c r="AE40" s="85">
        <v>866</v>
      </c>
      <c r="AF40" s="85">
        <v>794</v>
      </c>
      <c r="AG40" s="85">
        <v>521</v>
      </c>
      <c r="AH40" s="85">
        <v>793</v>
      </c>
      <c r="AI40" s="85">
        <v>894</v>
      </c>
      <c r="AJ40" s="85">
        <v>603</v>
      </c>
      <c r="AK40" s="85">
        <v>1145</v>
      </c>
      <c r="AL40" s="85">
        <v>884</v>
      </c>
      <c r="AM40" s="85">
        <v>1197</v>
      </c>
      <c r="AN40" s="85">
        <v>1497</v>
      </c>
      <c r="AO40" s="85">
        <v>1516</v>
      </c>
      <c r="AP40" s="85">
        <v>1013</v>
      </c>
      <c r="AQ40" s="85">
        <v>1212</v>
      </c>
      <c r="AR40" s="85">
        <v>1255</v>
      </c>
      <c r="AS40" s="85">
        <v>1479</v>
      </c>
      <c r="AT40" s="85">
        <v>1181</v>
      </c>
      <c r="AU40" s="85">
        <v>969</v>
      </c>
      <c r="AV40" s="85">
        <v>722</v>
      </c>
      <c r="AW40" s="85">
        <v>332</v>
      </c>
      <c r="AX40" s="86">
        <v>314</v>
      </c>
      <c r="AY40" s="86">
        <v>272</v>
      </c>
      <c r="AZ40" s="86">
        <v>183</v>
      </c>
      <c r="BA40" s="86">
        <v>240</v>
      </c>
      <c r="BB40" s="86">
        <v>362</v>
      </c>
      <c r="BC40" s="86">
        <v>168</v>
      </c>
      <c r="BD40" s="86">
        <v>406</v>
      </c>
      <c r="BE40" s="86">
        <v>291</v>
      </c>
      <c r="BF40" s="86">
        <v>329</v>
      </c>
      <c r="BG40" s="86">
        <v>303</v>
      </c>
      <c r="BH40" s="86">
        <v>243</v>
      </c>
      <c r="BI40" s="86">
        <v>270</v>
      </c>
      <c r="BJ40" s="86">
        <v>373</v>
      </c>
      <c r="BK40" s="86">
        <v>462</v>
      </c>
      <c r="BL40" s="86">
        <v>395</v>
      </c>
      <c r="BM40" s="86">
        <v>528</v>
      </c>
      <c r="BN40" s="86">
        <v>544</v>
      </c>
      <c r="BO40" s="86">
        <v>380</v>
      </c>
      <c r="BP40" s="86">
        <v>456</v>
      </c>
      <c r="BQ40" s="86">
        <v>396</v>
      </c>
      <c r="BR40" s="85">
        <v>472</v>
      </c>
      <c r="BS40" s="85">
        <v>398</v>
      </c>
      <c r="BT40" s="85">
        <v>350</v>
      </c>
      <c r="BU40" s="85">
        <v>386</v>
      </c>
      <c r="BV40" s="67">
        <v>1230</v>
      </c>
      <c r="BW40" s="67">
        <v>1452</v>
      </c>
      <c r="BX40" s="67">
        <v>1324</v>
      </c>
      <c r="BY40" s="67">
        <v>1134</v>
      </c>
      <c r="BZ40" s="68">
        <v>607.73763213530685</v>
      </c>
      <c r="CA40" s="68">
        <v>440.06680761099392</v>
      </c>
      <c r="CB40" s="68">
        <v>272.39598308668099</v>
      </c>
      <c r="CC40" s="68">
        <v>104.72515856236805</v>
      </c>
      <c r="CD40" s="68">
        <v>0</v>
      </c>
      <c r="CE40" s="68">
        <v>0</v>
      </c>
      <c r="CF40" s="68">
        <v>0</v>
      </c>
      <c r="CG40" s="68">
        <v>0</v>
      </c>
      <c r="CH40" s="87">
        <v>237800</v>
      </c>
      <c r="CI40" s="467">
        <v>238646</v>
      </c>
      <c r="CJ40" s="467">
        <v>238958.57599999997</v>
      </c>
      <c r="CK40" s="467">
        <v>239614.60200000004</v>
      </c>
      <c r="CL40" s="468">
        <v>240299.34600000008</v>
      </c>
      <c r="CM40" s="19" t="s">
        <v>154</v>
      </c>
      <c r="CN40" s="70">
        <v>592</v>
      </c>
      <c r="CO40" s="70">
        <v>539</v>
      </c>
      <c r="CP40" s="70">
        <v>565</v>
      </c>
      <c r="CQ40" s="70">
        <v>540</v>
      </c>
      <c r="CR40" s="70">
        <v>497</v>
      </c>
      <c r="CS40" s="70">
        <v>540</v>
      </c>
      <c r="CT40" s="70">
        <v>612</v>
      </c>
      <c r="CU40" s="70">
        <v>673</v>
      </c>
      <c r="CV40" s="70">
        <v>736</v>
      </c>
      <c r="CW40" s="70">
        <v>703</v>
      </c>
      <c r="CX40" s="70">
        <v>584</v>
      </c>
      <c r="CY40" s="70">
        <v>676</v>
      </c>
      <c r="CZ40" s="70">
        <v>642</v>
      </c>
      <c r="DA40" s="70">
        <v>595</v>
      </c>
      <c r="DB40" s="70">
        <v>533</v>
      </c>
      <c r="DC40" s="70">
        <v>590</v>
      </c>
      <c r="DD40" s="70">
        <v>508</v>
      </c>
      <c r="DE40" s="70">
        <v>526</v>
      </c>
      <c r="DF40" s="70">
        <v>649</v>
      </c>
      <c r="DG40" s="70">
        <v>696</v>
      </c>
      <c r="DH40" s="70">
        <v>864</v>
      </c>
      <c r="DI40" s="70">
        <v>831</v>
      </c>
      <c r="DJ40" s="70">
        <v>634</v>
      </c>
      <c r="DK40" s="70">
        <v>711</v>
      </c>
      <c r="DL40" s="46">
        <v>685</v>
      </c>
      <c r="DM40" s="46">
        <v>671</v>
      </c>
      <c r="DN40" s="46">
        <v>536</v>
      </c>
      <c r="DO40" s="46">
        <v>561</v>
      </c>
      <c r="DP40" s="46">
        <v>573</v>
      </c>
      <c r="DQ40" s="46">
        <v>661</v>
      </c>
      <c r="DR40" s="46">
        <v>636</v>
      </c>
      <c r="DS40" s="46">
        <v>701</v>
      </c>
      <c r="DT40" s="46">
        <v>801</v>
      </c>
      <c r="DU40" s="46">
        <v>733</v>
      </c>
      <c r="DV40" s="46">
        <v>702</v>
      </c>
      <c r="DW40" s="46">
        <v>714</v>
      </c>
      <c r="DX40" s="46">
        <v>708</v>
      </c>
      <c r="DY40" s="46">
        <v>765</v>
      </c>
      <c r="DZ40" s="46">
        <v>662</v>
      </c>
      <c r="EA40" s="46">
        <v>680</v>
      </c>
      <c r="EB40" s="46">
        <v>564</v>
      </c>
      <c r="EC40" s="46">
        <v>573</v>
      </c>
      <c r="ED40" s="46">
        <v>714</v>
      </c>
      <c r="EE40" s="46">
        <v>767</v>
      </c>
      <c r="EF40" s="46">
        <v>846</v>
      </c>
      <c r="EG40" s="46">
        <v>778</v>
      </c>
      <c r="EH40" s="46">
        <v>704</v>
      </c>
      <c r="EI40" s="46">
        <v>760</v>
      </c>
      <c r="EJ40" s="46">
        <v>723</v>
      </c>
      <c r="EK40" s="46">
        <v>677</v>
      </c>
      <c r="EL40" s="46">
        <v>634</v>
      </c>
      <c r="EM40" s="46">
        <v>637</v>
      </c>
      <c r="EN40" s="46">
        <v>596</v>
      </c>
      <c r="EO40" s="46">
        <v>651</v>
      </c>
      <c r="EP40" s="46">
        <v>673</v>
      </c>
      <c r="EQ40" s="46">
        <v>708</v>
      </c>
      <c r="ER40" s="46">
        <v>852</v>
      </c>
      <c r="ES40" s="46">
        <v>676</v>
      </c>
      <c r="ET40" s="46">
        <v>2242</v>
      </c>
      <c r="EU40" s="46">
        <v>2034</v>
      </c>
      <c r="EV40" s="46">
        <v>1884</v>
      </c>
      <c r="EW40" s="46">
        <v>2233</v>
      </c>
      <c r="EX40" s="71">
        <v>2213.9028269094711</v>
      </c>
      <c r="EY40" s="71">
        <v>2235.1214432926263</v>
      </c>
      <c r="EZ40" s="71">
        <v>2256.340059675782</v>
      </c>
      <c r="FA40" s="71">
        <v>2277.5586760589376</v>
      </c>
      <c r="FB40" s="71">
        <v>2298.7772924420929</v>
      </c>
      <c r="FC40" s="71">
        <v>2319.9959088252481</v>
      </c>
      <c r="FD40" s="71">
        <v>2341.2145252084038</v>
      </c>
      <c r="FE40" s="71">
        <v>2362.4331415915594</v>
      </c>
      <c r="FF40" s="72">
        <v>302468</v>
      </c>
      <c r="FG40" s="72">
        <v>302739</v>
      </c>
      <c r="FH40" s="476">
        <v>303622</v>
      </c>
      <c r="FI40" s="476">
        <v>303588.91899999999</v>
      </c>
      <c r="FJ40" s="476">
        <v>304186.98300000001</v>
      </c>
      <c r="FK40" s="476">
        <v>304876.58500000002</v>
      </c>
    </row>
    <row r="41" spans="1:167">
      <c r="A41" s="73" t="s">
        <v>915</v>
      </c>
      <c r="B41" s="19" t="s">
        <v>916</v>
      </c>
      <c r="C41" s="74" t="s">
        <v>686</v>
      </c>
      <c r="D41" s="75" t="s">
        <v>158</v>
      </c>
      <c r="E41" s="76">
        <v>600</v>
      </c>
      <c r="F41" s="77">
        <v>580</v>
      </c>
      <c r="G41" s="410">
        <v>580</v>
      </c>
      <c r="H41" s="78">
        <v>105000</v>
      </c>
      <c r="I41" s="77">
        <v>109035</v>
      </c>
      <c r="J41" s="410">
        <v>112255</v>
      </c>
      <c r="K41" s="410">
        <v>114706.13399999992</v>
      </c>
      <c r="L41" s="418">
        <v>117269.47000000002</v>
      </c>
      <c r="M41" s="79">
        <v>569.5</v>
      </c>
      <c r="N41" s="80">
        <v>533.79999999999995</v>
      </c>
      <c r="O41" s="421">
        <v>531</v>
      </c>
      <c r="P41" s="71">
        <v>551</v>
      </c>
      <c r="Q41" s="75" t="s">
        <v>158</v>
      </c>
      <c r="R41" s="81">
        <v>500</v>
      </c>
      <c r="S41" s="77">
        <v>495</v>
      </c>
      <c r="T41" s="452">
        <v>600</v>
      </c>
      <c r="U41" s="77">
        <v>710</v>
      </c>
      <c r="V41" s="77">
        <v>650</v>
      </c>
      <c r="W41" s="452">
        <v>670</v>
      </c>
      <c r="X41" s="82">
        <v>70.7</v>
      </c>
      <c r="Y41" s="83">
        <v>76.3</v>
      </c>
      <c r="Z41" s="443">
        <v>89.9</v>
      </c>
      <c r="AA41" s="63">
        <v>529</v>
      </c>
      <c r="AB41" s="63">
        <v>650</v>
      </c>
      <c r="AC41" s="19" t="s">
        <v>158</v>
      </c>
      <c r="AD41" s="84">
        <v>1385</v>
      </c>
      <c r="AE41" s="85">
        <v>926</v>
      </c>
      <c r="AF41" s="85">
        <v>1177</v>
      </c>
      <c r="AG41" s="85">
        <v>1714</v>
      </c>
      <c r="AH41" s="85">
        <v>1868</v>
      </c>
      <c r="AI41" s="85">
        <v>1765</v>
      </c>
      <c r="AJ41" s="85">
        <v>2014</v>
      </c>
      <c r="AK41" s="85">
        <v>2147</v>
      </c>
      <c r="AL41" s="85">
        <v>1694</v>
      </c>
      <c r="AM41" s="85">
        <v>1919</v>
      </c>
      <c r="AN41" s="85">
        <v>1847</v>
      </c>
      <c r="AO41" s="85">
        <v>1674</v>
      </c>
      <c r="AP41" s="85">
        <v>1655</v>
      </c>
      <c r="AQ41" s="85">
        <v>1792</v>
      </c>
      <c r="AR41" s="85">
        <v>1666</v>
      </c>
      <c r="AS41" s="85">
        <v>1365</v>
      </c>
      <c r="AT41" s="85">
        <v>1313</v>
      </c>
      <c r="AU41" s="85">
        <v>1151</v>
      </c>
      <c r="AV41" s="85">
        <v>1134</v>
      </c>
      <c r="AW41" s="85">
        <v>1371</v>
      </c>
      <c r="AX41" s="86">
        <v>1013</v>
      </c>
      <c r="AY41" s="86">
        <v>1023</v>
      </c>
      <c r="AZ41" s="86">
        <v>1178</v>
      </c>
      <c r="BA41" s="86">
        <v>1151</v>
      </c>
      <c r="BB41" s="86">
        <v>1124</v>
      </c>
      <c r="BC41" s="86">
        <v>1290</v>
      </c>
      <c r="BD41" s="86">
        <v>1576</v>
      </c>
      <c r="BE41" s="86">
        <v>1339</v>
      </c>
      <c r="BF41" s="86">
        <v>1158</v>
      </c>
      <c r="BG41" s="86">
        <v>1333</v>
      </c>
      <c r="BH41" s="86">
        <v>1272</v>
      </c>
      <c r="BI41" s="86">
        <v>1444</v>
      </c>
      <c r="BJ41" s="86">
        <v>957</v>
      </c>
      <c r="BK41" s="86">
        <v>1106</v>
      </c>
      <c r="BL41" s="86">
        <v>1046</v>
      </c>
      <c r="BM41" s="86">
        <v>1425</v>
      </c>
      <c r="BN41" s="86">
        <v>1651</v>
      </c>
      <c r="BO41" s="86">
        <v>1619</v>
      </c>
      <c r="BP41" s="86">
        <v>1682</v>
      </c>
      <c r="BQ41" s="86">
        <v>1427</v>
      </c>
      <c r="BR41" s="85">
        <v>1435</v>
      </c>
      <c r="BS41" s="85">
        <v>1917</v>
      </c>
      <c r="BT41" s="85">
        <v>1565</v>
      </c>
      <c r="BU41" s="85">
        <v>1415</v>
      </c>
      <c r="BV41" s="67">
        <v>3109</v>
      </c>
      <c r="BW41" s="67">
        <v>4695</v>
      </c>
      <c r="BX41" s="67">
        <v>4544</v>
      </c>
      <c r="BY41" s="67">
        <v>4897</v>
      </c>
      <c r="BZ41" s="68">
        <v>3967.3439746300219</v>
      </c>
      <c r="CA41" s="68">
        <v>3919.1644820295987</v>
      </c>
      <c r="CB41" s="68">
        <v>3870.984989429176</v>
      </c>
      <c r="CC41" s="68">
        <v>3822.8054968287529</v>
      </c>
      <c r="CD41" s="68">
        <v>3774.6260042283297</v>
      </c>
      <c r="CE41" s="68">
        <v>3726.4465116279071</v>
      </c>
      <c r="CF41" s="68">
        <v>3678.2670190274848</v>
      </c>
      <c r="CG41" s="68">
        <v>3630.0875264270617</v>
      </c>
      <c r="CH41" s="87">
        <v>337800</v>
      </c>
      <c r="CI41" s="467">
        <v>339403</v>
      </c>
      <c r="CJ41" s="467">
        <v>339362.65199999989</v>
      </c>
      <c r="CK41" s="467">
        <v>340756.12299999973</v>
      </c>
      <c r="CL41" s="468">
        <v>342139.76999999979</v>
      </c>
      <c r="CM41" s="19" t="s">
        <v>158</v>
      </c>
      <c r="CN41" s="70">
        <v>633</v>
      </c>
      <c r="CO41" s="70">
        <v>595</v>
      </c>
      <c r="CP41" s="70">
        <v>571</v>
      </c>
      <c r="CQ41" s="70">
        <v>591</v>
      </c>
      <c r="CR41" s="70">
        <v>534</v>
      </c>
      <c r="CS41" s="70">
        <v>541</v>
      </c>
      <c r="CT41" s="70">
        <v>657</v>
      </c>
      <c r="CU41" s="70">
        <v>650</v>
      </c>
      <c r="CV41" s="70">
        <v>767</v>
      </c>
      <c r="CW41" s="70">
        <v>714</v>
      </c>
      <c r="CX41" s="70">
        <v>637</v>
      </c>
      <c r="CY41" s="70">
        <v>590</v>
      </c>
      <c r="CZ41" s="70">
        <v>634</v>
      </c>
      <c r="DA41" s="70">
        <v>608</v>
      </c>
      <c r="DB41" s="70">
        <v>520</v>
      </c>
      <c r="DC41" s="70">
        <v>591</v>
      </c>
      <c r="DD41" s="70">
        <v>555</v>
      </c>
      <c r="DE41" s="70">
        <v>663</v>
      </c>
      <c r="DF41" s="70">
        <v>671</v>
      </c>
      <c r="DG41" s="70">
        <v>679</v>
      </c>
      <c r="DH41" s="70">
        <v>760</v>
      </c>
      <c r="DI41" s="70">
        <v>714</v>
      </c>
      <c r="DJ41" s="70">
        <v>726</v>
      </c>
      <c r="DK41" s="70">
        <v>697</v>
      </c>
      <c r="DL41" s="46">
        <v>694</v>
      </c>
      <c r="DM41" s="46">
        <v>656</v>
      </c>
      <c r="DN41" s="46">
        <v>595</v>
      </c>
      <c r="DO41" s="46">
        <v>583</v>
      </c>
      <c r="DP41" s="46">
        <v>600</v>
      </c>
      <c r="DQ41" s="46">
        <v>634</v>
      </c>
      <c r="DR41" s="46">
        <v>700</v>
      </c>
      <c r="DS41" s="46">
        <v>684</v>
      </c>
      <c r="DT41" s="46">
        <v>808</v>
      </c>
      <c r="DU41" s="46">
        <v>743</v>
      </c>
      <c r="DV41" s="46">
        <v>783</v>
      </c>
      <c r="DW41" s="46">
        <v>762</v>
      </c>
      <c r="DX41" s="46">
        <v>662</v>
      </c>
      <c r="DY41" s="46">
        <v>682</v>
      </c>
      <c r="DZ41" s="46">
        <v>664</v>
      </c>
      <c r="EA41" s="46">
        <v>650</v>
      </c>
      <c r="EB41" s="46">
        <v>604</v>
      </c>
      <c r="EC41" s="46">
        <v>604</v>
      </c>
      <c r="ED41" s="46">
        <v>647</v>
      </c>
      <c r="EE41" s="46">
        <v>713</v>
      </c>
      <c r="EF41" s="46">
        <v>775</v>
      </c>
      <c r="EG41" s="46">
        <v>680</v>
      </c>
      <c r="EH41" s="46">
        <v>593</v>
      </c>
      <c r="EI41" s="46">
        <v>627</v>
      </c>
      <c r="EJ41" s="46">
        <v>650</v>
      </c>
      <c r="EK41" s="46">
        <v>607</v>
      </c>
      <c r="EL41" s="46">
        <v>563</v>
      </c>
      <c r="EM41" s="46">
        <v>597</v>
      </c>
      <c r="EN41" s="46">
        <v>534</v>
      </c>
      <c r="EO41" s="46">
        <v>578</v>
      </c>
      <c r="EP41" s="46">
        <v>622</v>
      </c>
      <c r="EQ41" s="46">
        <v>685</v>
      </c>
      <c r="ER41" s="46">
        <v>764</v>
      </c>
      <c r="ES41" s="46">
        <v>654</v>
      </c>
      <c r="ET41" s="46">
        <v>1900</v>
      </c>
      <c r="EU41" s="46">
        <v>1820</v>
      </c>
      <c r="EV41" s="46">
        <v>1709</v>
      </c>
      <c r="EW41" s="46">
        <v>2071</v>
      </c>
      <c r="EX41" s="71">
        <v>2006.0327909194377</v>
      </c>
      <c r="EY41" s="71">
        <v>2011.2289212218154</v>
      </c>
      <c r="EZ41" s="71">
        <v>2016.4250515241933</v>
      </c>
      <c r="FA41" s="71">
        <v>2021.621181826571</v>
      </c>
      <c r="FB41" s="71">
        <v>2026.8173121289487</v>
      </c>
      <c r="FC41" s="71">
        <v>2032.0134424313269</v>
      </c>
      <c r="FD41" s="71">
        <v>2037.2095727337046</v>
      </c>
      <c r="FE41" s="71">
        <v>2042.4057030360823</v>
      </c>
      <c r="FF41" s="72">
        <v>413813</v>
      </c>
      <c r="FG41" s="72">
        <v>414940</v>
      </c>
      <c r="FH41" s="476">
        <v>416721</v>
      </c>
      <c r="FI41" s="476">
        <v>416730.28399999999</v>
      </c>
      <c r="FJ41" s="476">
        <v>418055.34100000001</v>
      </c>
      <c r="FK41" s="476">
        <v>419550.87099999998</v>
      </c>
    </row>
    <row r="42" spans="1:167">
      <c r="A42" s="73" t="s">
        <v>909</v>
      </c>
      <c r="B42" s="19" t="s">
        <v>910</v>
      </c>
      <c r="C42" s="74" t="s">
        <v>687</v>
      </c>
      <c r="D42" s="75" t="s">
        <v>162</v>
      </c>
      <c r="E42" s="76">
        <v>360</v>
      </c>
      <c r="F42" s="77">
        <v>475</v>
      </c>
      <c r="G42" s="410">
        <v>480</v>
      </c>
      <c r="H42" s="78">
        <v>58625</v>
      </c>
      <c r="I42" s="77">
        <v>60410</v>
      </c>
      <c r="J42" s="410">
        <v>61392</v>
      </c>
      <c r="K42" s="410">
        <v>62846.311000000009</v>
      </c>
      <c r="L42" s="418">
        <v>63872.403999999995</v>
      </c>
      <c r="M42" s="79">
        <v>615.79999999999995</v>
      </c>
      <c r="N42" s="80">
        <v>783</v>
      </c>
      <c r="O42" s="421">
        <v>794.5</v>
      </c>
      <c r="P42" s="71">
        <v>443</v>
      </c>
      <c r="Q42" s="75" t="s">
        <v>162</v>
      </c>
      <c r="R42" s="81">
        <v>200</v>
      </c>
      <c r="S42" s="77">
        <v>220</v>
      </c>
      <c r="T42" s="452">
        <v>265</v>
      </c>
      <c r="U42" s="77">
        <v>230</v>
      </c>
      <c r="V42" s="77">
        <v>255</v>
      </c>
      <c r="W42" s="452">
        <v>300</v>
      </c>
      <c r="X42" s="82">
        <v>87.3</v>
      </c>
      <c r="Y42" s="83">
        <v>87.4</v>
      </c>
      <c r="Z42" s="443">
        <v>87.4</v>
      </c>
      <c r="AA42" s="63">
        <v>233</v>
      </c>
      <c r="AB42" s="63">
        <v>264</v>
      </c>
      <c r="AC42" s="19" t="s">
        <v>162</v>
      </c>
      <c r="AD42" s="84">
        <v>1555</v>
      </c>
      <c r="AE42" s="85">
        <v>1703</v>
      </c>
      <c r="AF42" s="85">
        <v>1996</v>
      </c>
      <c r="AG42" s="85">
        <v>1358</v>
      </c>
      <c r="AH42" s="85">
        <v>1833</v>
      </c>
      <c r="AI42" s="85">
        <v>1754</v>
      </c>
      <c r="AJ42" s="85">
        <v>1291</v>
      </c>
      <c r="AK42" s="85">
        <v>1792</v>
      </c>
      <c r="AL42" s="85">
        <v>904</v>
      </c>
      <c r="AM42" s="85">
        <v>654</v>
      </c>
      <c r="AN42" s="85">
        <v>645</v>
      </c>
      <c r="AO42" s="85">
        <v>713</v>
      </c>
      <c r="AP42" s="85">
        <v>679</v>
      </c>
      <c r="AQ42" s="85">
        <v>982</v>
      </c>
      <c r="AR42" s="85">
        <v>634</v>
      </c>
      <c r="AS42" s="85">
        <v>738</v>
      </c>
      <c r="AT42" s="85">
        <v>747</v>
      </c>
      <c r="AU42" s="85">
        <v>546</v>
      </c>
      <c r="AV42" s="85">
        <v>678</v>
      </c>
      <c r="AW42" s="85">
        <v>650</v>
      </c>
      <c r="AX42" s="86">
        <v>684</v>
      </c>
      <c r="AY42" s="86">
        <v>797</v>
      </c>
      <c r="AZ42" s="86">
        <v>381</v>
      </c>
      <c r="BA42" s="86">
        <v>359</v>
      </c>
      <c r="BB42" s="86">
        <v>575</v>
      </c>
      <c r="BC42" s="86">
        <v>427</v>
      </c>
      <c r="BD42" s="86">
        <v>428</v>
      </c>
      <c r="BE42" s="86">
        <v>972</v>
      </c>
      <c r="BF42" s="86">
        <v>769</v>
      </c>
      <c r="BG42" s="86">
        <v>832</v>
      </c>
      <c r="BH42" s="86">
        <v>431</v>
      </c>
      <c r="BI42" s="86">
        <v>482</v>
      </c>
      <c r="BJ42" s="86">
        <v>502</v>
      </c>
      <c r="BK42" s="86">
        <v>411</v>
      </c>
      <c r="BL42" s="86">
        <v>587</v>
      </c>
      <c r="BM42" s="86">
        <v>642</v>
      </c>
      <c r="BN42" s="86">
        <v>507</v>
      </c>
      <c r="BO42" s="86">
        <v>468</v>
      </c>
      <c r="BP42" s="86">
        <v>746</v>
      </c>
      <c r="BQ42" s="86">
        <v>447</v>
      </c>
      <c r="BR42" s="85">
        <v>528</v>
      </c>
      <c r="BS42" s="85">
        <v>721</v>
      </c>
      <c r="BT42" s="85">
        <v>604</v>
      </c>
      <c r="BU42" s="85">
        <v>699</v>
      </c>
      <c r="BV42" s="67">
        <v>1500</v>
      </c>
      <c r="BW42" s="67">
        <v>1617</v>
      </c>
      <c r="BX42" s="67">
        <v>1721</v>
      </c>
      <c r="BY42" s="67">
        <v>2024</v>
      </c>
      <c r="BZ42" s="68">
        <v>768.76680761099374</v>
      </c>
      <c r="CA42" s="68">
        <v>554.85792811839292</v>
      </c>
      <c r="CB42" s="68">
        <v>340.94904862579278</v>
      </c>
      <c r="CC42" s="68">
        <v>127.04016913319197</v>
      </c>
      <c r="CD42" s="68">
        <v>0</v>
      </c>
      <c r="CE42" s="68">
        <v>0</v>
      </c>
      <c r="CF42" s="68">
        <v>0</v>
      </c>
      <c r="CG42" s="68">
        <v>0</v>
      </c>
      <c r="CH42" s="87">
        <v>246200</v>
      </c>
      <c r="CI42" s="467">
        <v>246783</v>
      </c>
      <c r="CJ42" s="467">
        <v>247808.84399999998</v>
      </c>
      <c r="CK42" s="467">
        <v>248668.90700000006</v>
      </c>
      <c r="CL42" s="468">
        <v>249464.19999999998</v>
      </c>
      <c r="CM42" s="19" t="s">
        <v>162</v>
      </c>
      <c r="CN42" s="70">
        <v>600</v>
      </c>
      <c r="CO42" s="70">
        <v>519</v>
      </c>
      <c r="CP42" s="70">
        <v>496</v>
      </c>
      <c r="CQ42" s="70">
        <v>504</v>
      </c>
      <c r="CR42" s="70">
        <v>462</v>
      </c>
      <c r="CS42" s="70">
        <v>526</v>
      </c>
      <c r="CT42" s="70">
        <v>583</v>
      </c>
      <c r="CU42" s="70">
        <v>540</v>
      </c>
      <c r="CV42" s="70">
        <v>700</v>
      </c>
      <c r="CW42" s="70">
        <v>577</v>
      </c>
      <c r="CX42" s="70">
        <v>560</v>
      </c>
      <c r="CY42" s="70">
        <v>643</v>
      </c>
      <c r="CZ42" s="70">
        <v>567</v>
      </c>
      <c r="DA42" s="70">
        <v>619</v>
      </c>
      <c r="DB42" s="70">
        <v>550</v>
      </c>
      <c r="DC42" s="70">
        <v>584</v>
      </c>
      <c r="DD42" s="70">
        <v>536</v>
      </c>
      <c r="DE42" s="70">
        <v>498</v>
      </c>
      <c r="DF42" s="70">
        <v>546</v>
      </c>
      <c r="DG42" s="70">
        <v>579</v>
      </c>
      <c r="DH42" s="70">
        <v>781</v>
      </c>
      <c r="DI42" s="70">
        <v>617</v>
      </c>
      <c r="DJ42" s="70">
        <v>534</v>
      </c>
      <c r="DK42" s="70">
        <v>602</v>
      </c>
      <c r="DL42" s="46">
        <v>584</v>
      </c>
      <c r="DM42" s="46">
        <v>564</v>
      </c>
      <c r="DN42" s="46">
        <v>533</v>
      </c>
      <c r="DO42" s="46">
        <v>549</v>
      </c>
      <c r="DP42" s="46">
        <v>519</v>
      </c>
      <c r="DQ42" s="46">
        <v>505</v>
      </c>
      <c r="DR42" s="46">
        <v>614</v>
      </c>
      <c r="DS42" s="46">
        <v>607</v>
      </c>
      <c r="DT42" s="46">
        <v>752</v>
      </c>
      <c r="DU42" s="46">
        <v>750</v>
      </c>
      <c r="DV42" s="46">
        <v>720</v>
      </c>
      <c r="DW42" s="46">
        <v>704</v>
      </c>
      <c r="DX42" s="46">
        <v>668</v>
      </c>
      <c r="DY42" s="46">
        <v>681</v>
      </c>
      <c r="DZ42" s="46">
        <v>644</v>
      </c>
      <c r="EA42" s="46">
        <v>656</v>
      </c>
      <c r="EB42" s="46">
        <v>638</v>
      </c>
      <c r="EC42" s="46">
        <v>637</v>
      </c>
      <c r="ED42" s="46">
        <v>732</v>
      </c>
      <c r="EE42" s="46">
        <v>733</v>
      </c>
      <c r="EF42" s="46">
        <v>791</v>
      </c>
      <c r="EG42" s="46">
        <v>698</v>
      </c>
      <c r="EH42" s="46">
        <v>678</v>
      </c>
      <c r="EI42" s="46">
        <v>793</v>
      </c>
      <c r="EJ42" s="46">
        <v>743</v>
      </c>
      <c r="EK42" s="46">
        <v>659</v>
      </c>
      <c r="EL42" s="46">
        <v>606</v>
      </c>
      <c r="EM42" s="46">
        <v>627</v>
      </c>
      <c r="EN42" s="46">
        <v>573</v>
      </c>
      <c r="EO42" s="46">
        <v>646</v>
      </c>
      <c r="EP42" s="46">
        <v>695</v>
      </c>
      <c r="EQ42" s="46">
        <v>690</v>
      </c>
      <c r="ER42" s="46">
        <v>823</v>
      </c>
      <c r="ES42" s="46">
        <v>719</v>
      </c>
      <c r="ET42" s="46">
        <v>2169</v>
      </c>
      <c r="EU42" s="46">
        <v>2008</v>
      </c>
      <c r="EV42" s="46">
        <v>1846</v>
      </c>
      <c r="EW42" s="46">
        <v>2208</v>
      </c>
      <c r="EX42" s="71">
        <v>2200.2868744040115</v>
      </c>
      <c r="EY42" s="71">
        <v>2230.2942569749912</v>
      </c>
      <c r="EZ42" s="71">
        <v>2260.3016395459717</v>
      </c>
      <c r="FA42" s="71">
        <v>2290.3090221169523</v>
      </c>
      <c r="FB42" s="71">
        <v>2320.3164046879328</v>
      </c>
      <c r="FC42" s="71">
        <v>2350.3237872589134</v>
      </c>
      <c r="FD42" s="71">
        <v>2380.331169829893</v>
      </c>
      <c r="FE42" s="71">
        <v>2410.3385524008736</v>
      </c>
      <c r="FF42" s="72">
        <v>313261</v>
      </c>
      <c r="FG42" s="72">
        <v>313589</v>
      </c>
      <c r="FH42" s="476">
        <v>314427</v>
      </c>
      <c r="FI42" s="476">
        <v>314746.28999999998</v>
      </c>
      <c r="FJ42" s="476">
        <v>315521.91499999998</v>
      </c>
      <c r="FK42" s="476">
        <v>316388.14</v>
      </c>
    </row>
    <row r="43" spans="1:167">
      <c r="A43" s="73" t="s">
        <v>922</v>
      </c>
      <c r="B43" s="19" t="s">
        <v>923</v>
      </c>
      <c r="C43" s="74" t="s">
        <v>688</v>
      </c>
      <c r="D43" s="75" t="s">
        <v>166</v>
      </c>
      <c r="E43" s="76">
        <v>130</v>
      </c>
      <c r="F43" s="77">
        <v>105</v>
      </c>
      <c r="G43" s="410">
        <v>115</v>
      </c>
      <c r="H43" s="78">
        <v>36455</v>
      </c>
      <c r="I43" s="77">
        <v>37450</v>
      </c>
      <c r="J43" s="410">
        <v>38462</v>
      </c>
      <c r="K43" s="410">
        <v>39310.970000000008</v>
      </c>
      <c r="L43" s="418">
        <v>40152.576000000001</v>
      </c>
      <c r="M43" s="79">
        <v>359.3</v>
      </c>
      <c r="N43" s="80">
        <v>285.7</v>
      </c>
      <c r="O43" s="421">
        <v>304.39999999999998</v>
      </c>
      <c r="P43" s="71">
        <v>120</v>
      </c>
      <c r="Q43" s="75" t="s">
        <v>166</v>
      </c>
      <c r="R43" s="81">
        <v>265</v>
      </c>
      <c r="S43" s="77">
        <v>225</v>
      </c>
      <c r="T43" s="452">
        <v>165</v>
      </c>
      <c r="U43" s="77">
        <v>285</v>
      </c>
      <c r="V43" s="77">
        <v>240</v>
      </c>
      <c r="W43" s="452">
        <v>180</v>
      </c>
      <c r="X43" s="82">
        <v>93</v>
      </c>
      <c r="Y43" s="83">
        <v>93.7</v>
      </c>
      <c r="Z43" s="443">
        <v>93.3</v>
      </c>
      <c r="AA43" s="63">
        <v>279</v>
      </c>
      <c r="AB43" s="63">
        <v>300</v>
      </c>
      <c r="AC43" s="19" t="s">
        <v>166</v>
      </c>
      <c r="AD43" s="84">
        <v>780</v>
      </c>
      <c r="AE43" s="85">
        <v>701</v>
      </c>
      <c r="AF43" s="85">
        <v>686</v>
      </c>
      <c r="AG43" s="85">
        <v>850</v>
      </c>
      <c r="AH43" s="85">
        <v>903</v>
      </c>
      <c r="AI43" s="85">
        <v>935</v>
      </c>
      <c r="AJ43" s="85">
        <v>790</v>
      </c>
      <c r="AK43" s="85">
        <v>944</v>
      </c>
      <c r="AL43" s="85">
        <v>637</v>
      </c>
      <c r="AM43" s="85">
        <v>917</v>
      </c>
      <c r="AN43" s="85">
        <v>846</v>
      </c>
      <c r="AO43" s="85">
        <v>719</v>
      </c>
      <c r="AP43" s="85">
        <v>788</v>
      </c>
      <c r="AQ43" s="85">
        <v>618</v>
      </c>
      <c r="AR43" s="85">
        <v>651</v>
      </c>
      <c r="AS43" s="85">
        <v>830</v>
      </c>
      <c r="AT43" s="85">
        <v>980</v>
      </c>
      <c r="AU43" s="85">
        <v>614</v>
      </c>
      <c r="AV43" s="85">
        <v>649</v>
      </c>
      <c r="AW43" s="85">
        <v>807</v>
      </c>
      <c r="AX43" s="86">
        <v>739</v>
      </c>
      <c r="AY43" s="86">
        <v>877</v>
      </c>
      <c r="AZ43" s="86">
        <v>873</v>
      </c>
      <c r="BA43" s="86">
        <v>912</v>
      </c>
      <c r="BB43" s="86">
        <v>877</v>
      </c>
      <c r="BC43" s="86">
        <v>920</v>
      </c>
      <c r="BD43" s="86">
        <v>700</v>
      </c>
      <c r="BE43" s="86">
        <v>861</v>
      </c>
      <c r="BF43" s="86">
        <v>798</v>
      </c>
      <c r="BG43" s="86">
        <v>750</v>
      </c>
      <c r="BH43" s="86">
        <v>700</v>
      </c>
      <c r="BI43" s="86">
        <v>887</v>
      </c>
      <c r="BJ43" s="86">
        <v>752</v>
      </c>
      <c r="BK43" s="86">
        <v>685</v>
      </c>
      <c r="BL43" s="86">
        <v>547</v>
      </c>
      <c r="BM43" s="86">
        <v>655</v>
      </c>
      <c r="BN43" s="86">
        <v>596</v>
      </c>
      <c r="BO43" s="86">
        <v>663</v>
      </c>
      <c r="BP43" s="86">
        <v>985</v>
      </c>
      <c r="BQ43" s="86">
        <v>889</v>
      </c>
      <c r="BR43" s="85">
        <v>762</v>
      </c>
      <c r="BS43" s="85">
        <v>862</v>
      </c>
      <c r="BT43" s="85">
        <v>815</v>
      </c>
      <c r="BU43" s="85">
        <v>954</v>
      </c>
      <c r="BV43" s="67">
        <v>1984</v>
      </c>
      <c r="BW43" s="67">
        <v>1914</v>
      </c>
      <c r="BX43" s="67">
        <v>2636</v>
      </c>
      <c r="BY43" s="67">
        <v>2631</v>
      </c>
      <c r="BZ43" s="68">
        <v>2354.7150105708247</v>
      </c>
      <c r="CA43" s="68">
        <v>2353.2511627906979</v>
      </c>
      <c r="CB43" s="68">
        <v>2351.7873150105711</v>
      </c>
      <c r="CC43" s="68">
        <v>2350.3234672304438</v>
      </c>
      <c r="CD43" s="68">
        <v>2348.859619450317</v>
      </c>
      <c r="CE43" s="68">
        <v>2347.3957716701902</v>
      </c>
      <c r="CF43" s="68">
        <v>2345.9319238900634</v>
      </c>
      <c r="CG43" s="68">
        <v>2344.4680761099366</v>
      </c>
      <c r="CH43" s="87">
        <v>262600</v>
      </c>
      <c r="CI43" s="467">
        <v>262978</v>
      </c>
      <c r="CJ43" s="467">
        <v>267965.19700000016</v>
      </c>
      <c r="CK43" s="467">
        <v>270622.62700000004</v>
      </c>
      <c r="CL43" s="468">
        <v>273579.66299999994</v>
      </c>
      <c r="CM43" s="19" t="s">
        <v>166</v>
      </c>
      <c r="CN43" s="70">
        <v>661</v>
      </c>
      <c r="CO43" s="70">
        <v>583</v>
      </c>
      <c r="CP43" s="70">
        <v>599</v>
      </c>
      <c r="CQ43" s="70">
        <v>537</v>
      </c>
      <c r="CR43" s="70">
        <v>493</v>
      </c>
      <c r="CS43" s="70">
        <v>548</v>
      </c>
      <c r="CT43" s="70">
        <v>549</v>
      </c>
      <c r="CU43" s="70">
        <v>578</v>
      </c>
      <c r="CV43" s="70">
        <v>626</v>
      </c>
      <c r="CW43" s="70">
        <v>571</v>
      </c>
      <c r="CX43" s="70">
        <v>552</v>
      </c>
      <c r="CY43" s="70">
        <v>554</v>
      </c>
      <c r="CZ43" s="70">
        <v>586</v>
      </c>
      <c r="DA43" s="70">
        <v>575</v>
      </c>
      <c r="DB43" s="70">
        <v>582</v>
      </c>
      <c r="DC43" s="70">
        <v>532</v>
      </c>
      <c r="DD43" s="70">
        <v>584</v>
      </c>
      <c r="DE43" s="70">
        <v>565</v>
      </c>
      <c r="DF43" s="70">
        <v>586</v>
      </c>
      <c r="DG43" s="70">
        <v>640</v>
      </c>
      <c r="DH43" s="70">
        <v>745</v>
      </c>
      <c r="DI43" s="70">
        <v>623</v>
      </c>
      <c r="DJ43" s="70">
        <v>595</v>
      </c>
      <c r="DK43" s="70">
        <v>629</v>
      </c>
      <c r="DL43" s="46">
        <v>602</v>
      </c>
      <c r="DM43" s="46">
        <v>628</v>
      </c>
      <c r="DN43" s="46">
        <v>566</v>
      </c>
      <c r="DO43" s="46">
        <v>557</v>
      </c>
      <c r="DP43" s="46">
        <v>537</v>
      </c>
      <c r="DQ43" s="46">
        <v>589</v>
      </c>
      <c r="DR43" s="46">
        <v>549</v>
      </c>
      <c r="DS43" s="46">
        <v>570</v>
      </c>
      <c r="DT43" s="46">
        <v>629</v>
      </c>
      <c r="DU43" s="46">
        <v>664</v>
      </c>
      <c r="DV43" s="46">
        <v>641</v>
      </c>
      <c r="DW43" s="46">
        <v>577</v>
      </c>
      <c r="DX43" s="46">
        <v>619</v>
      </c>
      <c r="DY43" s="46">
        <v>603</v>
      </c>
      <c r="DZ43" s="46">
        <v>560</v>
      </c>
      <c r="EA43" s="46">
        <v>595</v>
      </c>
      <c r="EB43" s="46">
        <v>500</v>
      </c>
      <c r="EC43" s="46">
        <v>573</v>
      </c>
      <c r="ED43" s="46">
        <v>559</v>
      </c>
      <c r="EE43" s="46">
        <v>599</v>
      </c>
      <c r="EF43" s="46">
        <v>701</v>
      </c>
      <c r="EG43" s="46">
        <v>676</v>
      </c>
      <c r="EH43" s="46">
        <v>563</v>
      </c>
      <c r="EI43" s="46">
        <v>589</v>
      </c>
      <c r="EJ43" s="46">
        <v>611</v>
      </c>
      <c r="EK43" s="46">
        <v>556</v>
      </c>
      <c r="EL43" s="46">
        <v>502</v>
      </c>
      <c r="EM43" s="46">
        <v>526</v>
      </c>
      <c r="EN43" s="46">
        <v>492</v>
      </c>
      <c r="EO43" s="46">
        <v>551</v>
      </c>
      <c r="EP43" s="46">
        <v>559</v>
      </c>
      <c r="EQ43" s="46">
        <v>558</v>
      </c>
      <c r="ER43" s="46">
        <v>611</v>
      </c>
      <c r="ES43" s="46">
        <v>491</v>
      </c>
      <c r="ET43" s="46">
        <v>1828</v>
      </c>
      <c r="EU43" s="46">
        <v>1669</v>
      </c>
      <c r="EV43" s="46">
        <v>1569</v>
      </c>
      <c r="EW43" s="46">
        <v>1728</v>
      </c>
      <c r="EX43" s="71">
        <v>1718.4191762281216</v>
      </c>
      <c r="EY43" s="71">
        <v>1715.6822726014336</v>
      </c>
      <c r="EZ43" s="71">
        <v>1712.9453689747456</v>
      </c>
      <c r="FA43" s="71">
        <v>1710.2084653480576</v>
      </c>
      <c r="FB43" s="71">
        <v>1707.4715617213697</v>
      </c>
      <c r="FC43" s="71">
        <v>1704.7346580946817</v>
      </c>
      <c r="FD43" s="71">
        <v>1701.9977544679937</v>
      </c>
      <c r="FE43" s="71">
        <v>1699.2608508413057</v>
      </c>
      <c r="FF43" s="72">
        <v>339314</v>
      </c>
      <c r="FG43" s="72">
        <v>340671</v>
      </c>
      <c r="FH43" s="476">
        <v>342494</v>
      </c>
      <c r="FI43" s="476">
        <v>347634.76699999999</v>
      </c>
      <c r="FJ43" s="476">
        <v>351142.16499999998</v>
      </c>
      <c r="FK43" s="476">
        <v>354992.44699999999</v>
      </c>
    </row>
    <row r="44" spans="1:167">
      <c r="A44" s="73" t="s">
        <v>943</v>
      </c>
      <c r="B44" s="19" t="s">
        <v>944</v>
      </c>
      <c r="C44" s="74" t="s">
        <v>689</v>
      </c>
      <c r="D44" s="75" t="s">
        <v>169</v>
      </c>
      <c r="E44" s="76">
        <v>540</v>
      </c>
      <c r="F44" s="77">
        <v>545</v>
      </c>
      <c r="G44" s="410">
        <v>550</v>
      </c>
      <c r="H44" s="78">
        <v>72290</v>
      </c>
      <c r="I44" s="77">
        <v>75700</v>
      </c>
      <c r="J44" s="410">
        <v>78212</v>
      </c>
      <c r="K44" s="410">
        <v>80651.66</v>
      </c>
      <c r="L44" s="418">
        <v>82822.103000000003</v>
      </c>
      <c r="M44" s="79">
        <v>748.4</v>
      </c>
      <c r="N44" s="80">
        <v>718.6</v>
      </c>
      <c r="O44" s="421">
        <v>727.9</v>
      </c>
      <c r="P44" s="71">
        <v>575</v>
      </c>
      <c r="Q44" s="75" t="s">
        <v>169</v>
      </c>
      <c r="R44" s="81">
        <v>65</v>
      </c>
      <c r="S44" s="77">
        <v>75</v>
      </c>
      <c r="T44" s="452">
        <v>80</v>
      </c>
      <c r="U44" s="77">
        <v>70</v>
      </c>
      <c r="V44" s="77">
        <v>85</v>
      </c>
      <c r="W44" s="452">
        <v>90</v>
      </c>
      <c r="X44" s="82">
        <v>91.7</v>
      </c>
      <c r="Y44" s="83">
        <v>89.2</v>
      </c>
      <c r="Z44" s="443">
        <v>88.6</v>
      </c>
      <c r="AA44" s="63">
        <v>86</v>
      </c>
      <c r="AB44" s="63">
        <v>93</v>
      </c>
      <c r="AC44" s="19" t="s">
        <v>169</v>
      </c>
      <c r="AD44" s="84">
        <v>122</v>
      </c>
      <c r="AE44" s="85">
        <v>105</v>
      </c>
      <c r="AF44" s="85">
        <v>156</v>
      </c>
      <c r="AG44" s="85">
        <v>351</v>
      </c>
      <c r="AH44" s="85">
        <v>302</v>
      </c>
      <c r="AI44" s="85">
        <v>413</v>
      </c>
      <c r="AJ44" s="85">
        <v>409</v>
      </c>
      <c r="AK44" s="85">
        <v>357</v>
      </c>
      <c r="AL44" s="85">
        <v>367</v>
      </c>
      <c r="AM44" s="85">
        <v>560</v>
      </c>
      <c r="AN44" s="85">
        <v>674</v>
      </c>
      <c r="AO44" s="85">
        <v>716</v>
      </c>
      <c r="AP44" s="85">
        <v>684</v>
      </c>
      <c r="AQ44" s="85">
        <v>544</v>
      </c>
      <c r="AR44" s="85">
        <v>773</v>
      </c>
      <c r="AS44" s="85">
        <v>713</v>
      </c>
      <c r="AT44" s="85">
        <v>635</v>
      </c>
      <c r="AU44" s="85">
        <v>654</v>
      </c>
      <c r="AV44" s="85">
        <v>644</v>
      </c>
      <c r="AW44" s="85">
        <v>502</v>
      </c>
      <c r="AX44" s="86">
        <v>668</v>
      </c>
      <c r="AY44" s="86">
        <v>646</v>
      </c>
      <c r="AZ44" s="86">
        <v>618</v>
      </c>
      <c r="BA44" s="86">
        <v>574</v>
      </c>
      <c r="BB44" s="86">
        <v>679</v>
      </c>
      <c r="BC44" s="86">
        <v>662</v>
      </c>
      <c r="BD44" s="86">
        <v>644</v>
      </c>
      <c r="BE44" s="86">
        <v>621</v>
      </c>
      <c r="BF44" s="86">
        <v>662</v>
      </c>
      <c r="BG44" s="86">
        <v>602</v>
      </c>
      <c r="BH44" s="86">
        <v>640</v>
      </c>
      <c r="BI44" s="86">
        <v>672</v>
      </c>
      <c r="BJ44" s="86">
        <v>661</v>
      </c>
      <c r="BK44" s="86">
        <v>540</v>
      </c>
      <c r="BL44" s="86">
        <v>396</v>
      </c>
      <c r="BM44" s="86">
        <v>462</v>
      </c>
      <c r="BN44" s="86">
        <v>480</v>
      </c>
      <c r="BO44" s="86">
        <v>543</v>
      </c>
      <c r="BP44" s="86">
        <v>586</v>
      </c>
      <c r="BQ44" s="86">
        <v>617</v>
      </c>
      <c r="BR44" s="85">
        <v>523</v>
      </c>
      <c r="BS44" s="85">
        <v>600</v>
      </c>
      <c r="BT44" s="85">
        <v>451</v>
      </c>
      <c r="BU44" s="85">
        <v>594</v>
      </c>
      <c r="BV44" s="67">
        <v>1597</v>
      </c>
      <c r="BW44" s="67">
        <v>1485</v>
      </c>
      <c r="BX44" s="67">
        <v>1726</v>
      </c>
      <c r="BY44" s="67">
        <v>1645</v>
      </c>
      <c r="BZ44" s="68">
        <v>1999.2236786469343</v>
      </c>
      <c r="CA44" s="68">
        <v>2047.0955602536997</v>
      </c>
      <c r="CB44" s="68">
        <v>2094.9674418604645</v>
      </c>
      <c r="CC44" s="68">
        <v>2142.8393234672303</v>
      </c>
      <c r="CD44" s="68">
        <v>2190.7112050739956</v>
      </c>
      <c r="CE44" s="68">
        <v>2238.583086680761</v>
      </c>
      <c r="CF44" s="68">
        <v>2286.4549682875263</v>
      </c>
      <c r="CG44" s="68">
        <v>2334.3268498942916</v>
      </c>
      <c r="CH44" s="87">
        <v>272000</v>
      </c>
      <c r="CI44" s="467">
        <v>272607</v>
      </c>
      <c r="CJ44" s="467">
        <v>275147.54900000012</v>
      </c>
      <c r="CK44" s="467">
        <v>276778.93099999998</v>
      </c>
      <c r="CL44" s="468">
        <v>278332.68300000014</v>
      </c>
      <c r="CM44" s="19" t="s">
        <v>169</v>
      </c>
      <c r="CN44" s="70">
        <v>454</v>
      </c>
      <c r="CO44" s="70">
        <v>418</v>
      </c>
      <c r="CP44" s="70">
        <v>415</v>
      </c>
      <c r="CQ44" s="70">
        <v>423</v>
      </c>
      <c r="CR44" s="70">
        <v>438</v>
      </c>
      <c r="CS44" s="70">
        <v>446</v>
      </c>
      <c r="CT44" s="70">
        <v>459</v>
      </c>
      <c r="CU44" s="70">
        <v>474</v>
      </c>
      <c r="CV44" s="70">
        <v>517</v>
      </c>
      <c r="CW44" s="70">
        <v>534</v>
      </c>
      <c r="CX44" s="70">
        <v>488</v>
      </c>
      <c r="CY44" s="70">
        <v>493</v>
      </c>
      <c r="CZ44" s="70">
        <v>482</v>
      </c>
      <c r="DA44" s="70">
        <v>499</v>
      </c>
      <c r="DB44" s="70">
        <v>496</v>
      </c>
      <c r="DC44" s="70">
        <v>463</v>
      </c>
      <c r="DD44" s="70">
        <v>491</v>
      </c>
      <c r="DE44" s="70">
        <v>496</v>
      </c>
      <c r="DF44" s="70">
        <v>519</v>
      </c>
      <c r="DG44" s="70">
        <v>517</v>
      </c>
      <c r="DH44" s="70">
        <v>629</v>
      </c>
      <c r="DI44" s="70">
        <v>601</v>
      </c>
      <c r="DJ44" s="70">
        <v>556</v>
      </c>
      <c r="DK44" s="70">
        <v>558</v>
      </c>
      <c r="DL44" s="46">
        <v>541</v>
      </c>
      <c r="DM44" s="46">
        <v>556</v>
      </c>
      <c r="DN44" s="46">
        <v>471</v>
      </c>
      <c r="DO44" s="46">
        <v>483</v>
      </c>
      <c r="DP44" s="46">
        <v>470</v>
      </c>
      <c r="DQ44" s="46">
        <v>548</v>
      </c>
      <c r="DR44" s="46">
        <v>546</v>
      </c>
      <c r="DS44" s="46">
        <v>597</v>
      </c>
      <c r="DT44" s="46">
        <v>643</v>
      </c>
      <c r="DU44" s="46">
        <v>583</v>
      </c>
      <c r="DV44" s="46">
        <v>698</v>
      </c>
      <c r="DW44" s="46">
        <v>619</v>
      </c>
      <c r="DX44" s="46">
        <v>597</v>
      </c>
      <c r="DY44" s="46">
        <v>618</v>
      </c>
      <c r="DZ44" s="46">
        <v>538</v>
      </c>
      <c r="EA44" s="46">
        <v>590</v>
      </c>
      <c r="EB44" s="46">
        <v>537</v>
      </c>
      <c r="EC44" s="46">
        <v>521</v>
      </c>
      <c r="ED44" s="46">
        <v>619</v>
      </c>
      <c r="EE44" s="46">
        <v>662</v>
      </c>
      <c r="EF44" s="46">
        <v>702</v>
      </c>
      <c r="EG44" s="46">
        <v>643</v>
      </c>
      <c r="EH44" s="46">
        <v>570</v>
      </c>
      <c r="EI44" s="46">
        <v>591</v>
      </c>
      <c r="EJ44" s="46">
        <v>611</v>
      </c>
      <c r="EK44" s="46">
        <v>556</v>
      </c>
      <c r="EL44" s="46">
        <v>454</v>
      </c>
      <c r="EM44" s="46">
        <v>569</v>
      </c>
      <c r="EN44" s="46">
        <v>523</v>
      </c>
      <c r="EO44" s="46">
        <v>534</v>
      </c>
      <c r="EP44" s="46">
        <v>563</v>
      </c>
      <c r="EQ44" s="46">
        <v>597</v>
      </c>
      <c r="ER44" s="46">
        <v>653</v>
      </c>
      <c r="ES44" s="46">
        <v>503</v>
      </c>
      <c r="ET44" s="46">
        <v>1804</v>
      </c>
      <c r="EU44" s="46">
        <v>1621</v>
      </c>
      <c r="EV44" s="46">
        <v>1626</v>
      </c>
      <c r="EW44" s="46">
        <v>1813</v>
      </c>
      <c r="EX44" s="71">
        <v>1875.3276938693898</v>
      </c>
      <c r="EY44" s="71">
        <v>1898.6481282106495</v>
      </c>
      <c r="EZ44" s="71">
        <v>1921.9685625519087</v>
      </c>
      <c r="FA44" s="71">
        <v>1945.2889968931679</v>
      </c>
      <c r="FB44" s="71">
        <v>1968.6094312344276</v>
      </c>
      <c r="FC44" s="71">
        <v>1991.9298655756866</v>
      </c>
      <c r="FD44" s="71">
        <v>2015.2502999169462</v>
      </c>
      <c r="FE44" s="71">
        <v>2038.5707342582054</v>
      </c>
      <c r="FF44" s="72">
        <v>334673</v>
      </c>
      <c r="FG44" s="72">
        <v>335887</v>
      </c>
      <c r="FH44" s="476">
        <v>336007</v>
      </c>
      <c r="FI44" s="476">
        <v>338711.80699999997</v>
      </c>
      <c r="FJ44" s="476">
        <v>340237.527</v>
      </c>
      <c r="FK44" s="476">
        <v>341819.78399999999</v>
      </c>
    </row>
    <row r="45" spans="1:167">
      <c r="A45" s="73" t="s">
        <v>924</v>
      </c>
      <c r="B45" s="19" t="s">
        <v>925</v>
      </c>
      <c r="C45" s="74" t="s">
        <v>690</v>
      </c>
      <c r="D45" s="75" t="s">
        <v>173</v>
      </c>
      <c r="E45" s="76">
        <v>755</v>
      </c>
      <c r="F45" s="77">
        <v>720</v>
      </c>
      <c r="G45" s="410">
        <v>770</v>
      </c>
      <c r="H45" s="78">
        <v>120720</v>
      </c>
      <c r="I45" s="77">
        <v>125710</v>
      </c>
      <c r="J45" s="410">
        <v>129448</v>
      </c>
      <c r="K45" s="410">
        <v>132508.61800000005</v>
      </c>
      <c r="L45" s="418">
        <v>135358.79999999999</v>
      </c>
      <c r="M45" s="79">
        <v>626.20000000000005</v>
      </c>
      <c r="N45" s="80">
        <v>572</v>
      </c>
      <c r="O45" s="421">
        <v>612.5</v>
      </c>
      <c r="P45" s="71" t="s">
        <v>945</v>
      </c>
      <c r="Q45" s="75" t="s">
        <v>173</v>
      </c>
      <c r="R45" s="81">
        <v>430</v>
      </c>
      <c r="S45" s="77">
        <v>450</v>
      </c>
      <c r="T45" s="452">
        <v>570</v>
      </c>
      <c r="U45" s="77">
        <v>480</v>
      </c>
      <c r="V45" s="77">
        <v>505</v>
      </c>
      <c r="W45" s="452">
        <v>625</v>
      </c>
      <c r="X45" s="82">
        <v>89.8</v>
      </c>
      <c r="Y45" s="83">
        <v>89.2</v>
      </c>
      <c r="Z45" s="443">
        <v>91.4</v>
      </c>
      <c r="AA45" s="63" t="s">
        <v>945</v>
      </c>
      <c r="AB45" s="63" t="s">
        <v>945</v>
      </c>
      <c r="AC45" s="19" t="s">
        <v>173</v>
      </c>
      <c r="AD45" s="84">
        <v>2431</v>
      </c>
      <c r="AE45" s="85">
        <v>1779</v>
      </c>
      <c r="AF45" s="85">
        <v>1893</v>
      </c>
      <c r="AG45" s="85">
        <v>2019</v>
      </c>
      <c r="AH45" s="85">
        <v>1720</v>
      </c>
      <c r="AI45" s="85">
        <v>1964</v>
      </c>
      <c r="AJ45" s="85">
        <v>943</v>
      </c>
      <c r="AK45" s="85">
        <v>1729</v>
      </c>
      <c r="AL45" s="85">
        <v>1374</v>
      </c>
      <c r="AM45" s="85">
        <v>1393</v>
      </c>
      <c r="AN45" s="85">
        <v>1495</v>
      </c>
      <c r="AO45" s="85">
        <v>1442</v>
      </c>
      <c r="AP45" s="85">
        <v>1610</v>
      </c>
      <c r="AQ45" s="85">
        <v>1599</v>
      </c>
      <c r="AR45" s="85">
        <v>1421</v>
      </c>
      <c r="AS45" s="85">
        <v>1587</v>
      </c>
      <c r="AT45" s="85">
        <v>1481</v>
      </c>
      <c r="AU45" s="85">
        <v>1203</v>
      </c>
      <c r="AV45" s="85">
        <v>1693</v>
      </c>
      <c r="AW45" s="85">
        <v>2465</v>
      </c>
      <c r="AX45" s="86">
        <v>1467</v>
      </c>
      <c r="AY45" s="86">
        <v>1734</v>
      </c>
      <c r="AZ45" s="86">
        <v>1387</v>
      </c>
      <c r="BA45" s="86">
        <v>1517</v>
      </c>
      <c r="BB45" s="86">
        <v>1759</v>
      </c>
      <c r="BC45" s="86">
        <v>1594</v>
      </c>
      <c r="BD45" s="86">
        <v>1740</v>
      </c>
      <c r="BE45" s="86">
        <v>1352</v>
      </c>
      <c r="BF45" s="86">
        <v>990</v>
      </c>
      <c r="BG45" s="86">
        <v>1843</v>
      </c>
      <c r="BH45" s="86">
        <v>1879</v>
      </c>
      <c r="BI45" s="86">
        <v>1796</v>
      </c>
      <c r="BJ45" s="86">
        <v>1521</v>
      </c>
      <c r="BK45" s="86">
        <v>1716</v>
      </c>
      <c r="BL45" s="86">
        <v>1446</v>
      </c>
      <c r="BM45" s="86">
        <v>1787</v>
      </c>
      <c r="BN45" s="86">
        <v>1815</v>
      </c>
      <c r="BO45" s="86">
        <v>1662</v>
      </c>
      <c r="BP45" s="86">
        <v>1662</v>
      </c>
      <c r="BQ45" s="86">
        <v>1503</v>
      </c>
      <c r="BR45" s="85">
        <v>923</v>
      </c>
      <c r="BS45" s="85">
        <v>1139</v>
      </c>
      <c r="BT45" s="85">
        <v>1215</v>
      </c>
      <c r="BU45" s="85">
        <v>1723</v>
      </c>
      <c r="BV45" s="67">
        <v>4683</v>
      </c>
      <c r="BW45" s="67">
        <v>5264</v>
      </c>
      <c r="BX45" s="67">
        <v>4088</v>
      </c>
      <c r="BY45" s="67">
        <v>4077</v>
      </c>
      <c r="BZ45" s="68">
        <v>4347.4980972515859</v>
      </c>
      <c r="CA45" s="68">
        <v>4289.6361522198731</v>
      </c>
      <c r="CB45" s="68">
        <v>4231.7742071881603</v>
      </c>
      <c r="CC45" s="68">
        <v>4173.9122621564484</v>
      </c>
      <c r="CD45" s="68">
        <v>4116.0503171247356</v>
      </c>
      <c r="CE45" s="68">
        <v>4058.1883720930227</v>
      </c>
      <c r="CF45" s="68">
        <v>4000.3264270613104</v>
      </c>
      <c r="CG45" s="68">
        <v>3942.4644820295985</v>
      </c>
      <c r="CH45" s="87">
        <v>426500</v>
      </c>
      <c r="CI45" s="467">
        <v>429506</v>
      </c>
      <c r="CJ45" s="467">
        <v>432100.67200000008</v>
      </c>
      <c r="CK45" s="467">
        <v>435371.86199999996</v>
      </c>
      <c r="CL45" s="468">
        <v>438771.5680000002</v>
      </c>
      <c r="CM45" s="19" t="s">
        <v>173</v>
      </c>
      <c r="CN45" s="70">
        <v>872</v>
      </c>
      <c r="CO45" s="70">
        <v>885</v>
      </c>
      <c r="CP45" s="70">
        <v>839</v>
      </c>
      <c r="CQ45" s="70">
        <v>783</v>
      </c>
      <c r="CR45" s="70">
        <v>798</v>
      </c>
      <c r="CS45" s="70">
        <v>772</v>
      </c>
      <c r="CT45" s="70">
        <v>903</v>
      </c>
      <c r="CU45" s="70">
        <v>888</v>
      </c>
      <c r="CV45" s="70">
        <v>1078</v>
      </c>
      <c r="CW45" s="70">
        <v>898</v>
      </c>
      <c r="CX45" s="70">
        <v>902</v>
      </c>
      <c r="CY45" s="70">
        <v>969</v>
      </c>
      <c r="CZ45" s="70">
        <v>844</v>
      </c>
      <c r="DA45" s="70">
        <v>866</v>
      </c>
      <c r="DB45" s="70">
        <v>777</v>
      </c>
      <c r="DC45" s="70">
        <v>781</v>
      </c>
      <c r="DD45" s="70">
        <v>894</v>
      </c>
      <c r="DE45" s="70">
        <v>881</v>
      </c>
      <c r="DF45" s="70">
        <v>933</v>
      </c>
      <c r="DG45" s="70">
        <v>911</v>
      </c>
      <c r="DH45" s="70">
        <v>1101</v>
      </c>
      <c r="DI45" s="70">
        <v>1033</v>
      </c>
      <c r="DJ45" s="70">
        <v>955</v>
      </c>
      <c r="DK45" s="70">
        <v>970</v>
      </c>
      <c r="DL45" s="46">
        <v>941</v>
      </c>
      <c r="DM45" s="46">
        <v>843</v>
      </c>
      <c r="DN45" s="46">
        <v>838</v>
      </c>
      <c r="DO45" s="46">
        <v>821</v>
      </c>
      <c r="DP45" s="46">
        <v>844</v>
      </c>
      <c r="DQ45" s="46">
        <v>779</v>
      </c>
      <c r="DR45" s="46">
        <v>922</v>
      </c>
      <c r="DS45" s="46">
        <v>910</v>
      </c>
      <c r="DT45" s="46">
        <v>1032</v>
      </c>
      <c r="DU45" s="46">
        <v>971</v>
      </c>
      <c r="DV45" s="46">
        <v>1008</v>
      </c>
      <c r="DW45" s="46">
        <v>986</v>
      </c>
      <c r="DX45" s="46">
        <v>944</v>
      </c>
      <c r="DY45" s="46">
        <v>944</v>
      </c>
      <c r="DZ45" s="46">
        <v>838</v>
      </c>
      <c r="EA45" s="46">
        <v>877</v>
      </c>
      <c r="EB45" s="46">
        <v>881</v>
      </c>
      <c r="EC45" s="46">
        <v>899</v>
      </c>
      <c r="ED45" s="46">
        <v>952</v>
      </c>
      <c r="EE45" s="46">
        <v>985</v>
      </c>
      <c r="EF45" s="46">
        <v>1062</v>
      </c>
      <c r="EG45" s="46">
        <v>921</v>
      </c>
      <c r="EH45" s="46">
        <v>885</v>
      </c>
      <c r="EI45" s="46">
        <v>904</v>
      </c>
      <c r="EJ45" s="46">
        <v>964</v>
      </c>
      <c r="EK45" s="46">
        <v>926</v>
      </c>
      <c r="EL45" s="46">
        <v>817</v>
      </c>
      <c r="EM45" s="46">
        <v>821</v>
      </c>
      <c r="EN45" s="46">
        <v>867</v>
      </c>
      <c r="EO45" s="46">
        <v>817</v>
      </c>
      <c r="EP45" s="46">
        <v>921</v>
      </c>
      <c r="EQ45" s="46">
        <v>949</v>
      </c>
      <c r="ER45" s="46">
        <v>1059</v>
      </c>
      <c r="ES45" s="46">
        <v>837</v>
      </c>
      <c r="ET45" s="46">
        <v>2710</v>
      </c>
      <c r="EU45" s="46">
        <v>2707</v>
      </c>
      <c r="EV45" s="46">
        <v>2505</v>
      </c>
      <c r="EW45" s="46">
        <v>2929</v>
      </c>
      <c r="EX45" s="71">
        <v>2800.6141991448521</v>
      </c>
      <c r="EY45" s="71">
        <v>2808.4788520102129</v>
      </c>
      <c r="EZ45" s="71">
        <v>2816.3435048755728</v>
      </c>
      <c r="FA45" s="71">
        <v>2824.2081577409335</v>
      </c>
      <c r="FB45" s="71">
        <v>2832.0728106062938</v>
      </c>
      <c r="FC45" s="71">
        <v>2839.9374634716542</v>
      </c>
      <c r="FD45" s="71">
        <v>2847.8021163370145</v>
      </c>
      <c r="FE45" s="71">
        <v>2855.6667692023748</v>
      </c>
      <c r="FF45" s="72">
        <v>527209</v>
      </c>
      <c r="FG45" s="72">
        <v>531201</v>
      </c>
      <c r="FH45" s="476">
        <v>534402</v>
      </c>
      <c r="FI45" s="476">
        <v>537180.201</v>
      </c>
      <c r="FJ45" s="476">
        <v>540621.07900000003</v>
      </c>
      <c r="FK45" s="476">
        <v>544279.46100000001</v>
      </c>
    </row>
    <row r="46" spans="1:167">
      <c r="A46" s="73" t="s">
        <v>899</v>
      </c>
      <c r="B46" s="19" t="s">
        <v>900</v>
      </c>
      <c r="C46" s="74" t="s">
        <v>691</v>
      </c>
      <c r="D46" s="75" t="s">
        <v>176</v>
      </c>
      <c r="E46" s="76">
        <v>200</v>
      </c>
      <c r="F46" s="77">
        <v>205</v>
      </c>
      <c r="G46" s="410">
        <v>180</v>
      </c>
      <c r="H46" s="78">
        <v>39065</v>
      </c>
      <c r="I46" s="77">
        <v>40115</v>
      </c>
      <c r="J46" s="410">
        <v>40893</v>
      </c>
      <c r="K46" s="410">
        <v>41651.655999999995</v>
      </c>
      <c r="L46" s="418">
        <v>42405.163000000008</v>
      </c>
      <c r="M46" s="79">
        <v>514.6</v>
      </c>
      <c r="N46" s="80">
        <v>513.5</v>
      </c>
      <c r="O46" s="421">
        <v>443.7</v>
      </c>
      <c r="P46" s="71">
        <v>191</v>
      </c>
      <c r="Q46" s="75" t="s">
        <v>176</v>
      </c>
      <c r="R46" s="81">
        <v>80</v>
      </c>
      <c r="S46" s="77">
        <v>135</v>
      </c>
      <c r="T46" s="452">
        <v>205</v>
      </c>
      <c r="U46" s="77">
        <v>95</v>
      </c>
      <c r="V46" s="77">
        <v>150</v>
      </c>
      <c r="W46" s="452">
        <v>250</v>
      </c>
      <c r="X46" s="82">
        <v>88.2</v>
      </c>
      <c r="Y46" s="83">
        <v>88.2</v>
      </c>
      <c r="Z46" s="443">
        <v>82.3</v>
      </c>
      <c r="AA46" s="63">
        <v>228.8</v>
      </c>
      <c r="AB46" s="63">
        <v>260</v>
      </c>
      <c r="AC46" s="19" t="s">
        <v>176</v>
      </c>
      <c r="AD46" s="84">
        <v>364</v>
      </c>
      <c r="AE46" s="85">
        <v>436</v>
      </c>
      <c r="AF46" s="85">
        <v>371</v>
      </c>
      <c r="AG46" s="85">
        <v>292</v>
      </c>
      <c r="AH46" s="85">
        <v>261</v>
      </c>
      <c r="AI46" s="85">
        <v>342</v>
      </c>
      <c r="AJ46" s="85">
        <v>273</v>
      </c>
      <c r="AK46" s="85">
        <v>314</v>
      </c>
      <c r="AL46" s="85">
        <v>252</v>
      </c>
      <c r="AM46" s="85">
        <v>292</v>
      </c>
      <c r="AN46" s="85">
        <v>304</v>
      </c>
      <c r="AO46" s="85">
        <v>250</v>
      </c>
      <c r="AP46" s="85">
        <v>173</v>
      </c>
      <c r="AQ46" s="85">
        <v>208</v>
      </c>
      <c r="AR46" s="85">
        <v>321</v>
      </c>
      <c r="AS46" s="85">
        <v>331</v>
      </c>
      <c r="AT46" s="85">
        <v>308</v>
      </c>
      <c r="AU46" s="85">
        <v>339</v>
      </c>
      <c r="AV46" s="85">
        <v>380</v>
      </c>
      <c r="AW46" s="85">
        <v>361</v>
      </c>
      <c r="AX46" s="86">
        <v>415</v>
      </c>
      <c r="AY46" s="86">
        <v>330</v>
      </c>
      <c r="AZ46" s="86">
        <v>274</v>
      </c>
      <c r="BA46" s="86">
        <v>422</v>
      </c>
      <c r="BB46" s="86">
        <v>246</v>
      </c>
      <c r="BC46" s="86">
        <v>341</v>
      </c>
      <c r="BD46" s="86">
        <v>287</v>
      </c>
      <c r="BE46" s="86">
        <v>219</v>
      </c>
      <c r="BF46" s="86">
        <v>226</v>
      </c>
      <c r="BG46" s="86">
        <v>244</v>
      </c>
      <c r="BH46" s="86">
        <v>369</v>
      </c>
      <c r="BI46" s="86">
        <v>541</v>
      </c>
      <c r="BJ46" s="86">
        <v>556</v>
      </c>
      <c r="BK46" s="86">
        <v>463</v>
      </c>
      <c r="BL46" s="86">
        <v>418</v>
      </c>
      <c r="BM46" s="86">
        <v>412</v>
      </c>
      <c r="BN46" s="86">
        <v>489</v>
      </c>
      <c r="BO46" s="86">
        <v>553</v>
      </c>
      <c r="BP46" s="86">
        <v>711</v>
      </c>
      <c r="BQ46" s="86">
        <v>428</v>
      </c>
      <c r="BR46" s="85">
        <v>319</v>
      </c>
      <c r="BS46" s="85">
        <v>369</v>
      </c>
      <c r="BT46" s="85">
        <v>340</v>
      </c>
      <c r="BU46" s="85">
        <v>535</v>
      </c>
      <c r="BV46" s="67">
        <v>1437</v>
      </c>
      <c r="BW46" s="67">
        <v>1454</v>
      </c>
      <c r="BX46" s="67">
        <v>1458</v>
      </c>
      <c r="BY46" s="67">
        <v>1244</v>
      </c>
      <c r="BZ46" s="68">
        <v>1359.9010570824523</v>
      </c>
      <c r="CA46" s="68">
        <v>1397.0344608879491</v>
      </c>
      <c r="CB46" s="68">
        <v>1434.1678646934461</v>
      </c>
      <c r="CC46" s="68">
        <v>1471.301268498943</v>
      </c>
      <c r="CD46" s="68">
        <v>1508.4346723044398</v>
      </c>
      <c r="CE46" s="68">
        <v>1545.5680761099363</v>
      </c>
      <c r="CF46" s="68">
        <v>1582.7014799154335</v>
      </c>
      <c r="CG46" s="68">
        <v>1619.8348837209301</v>
      </c>
      <c r="CH46" s="87">
        <v>237200</v>
      </c>
      <c r="CI46" s="467">
        <v>239600</v>
      </c>
      <c r="CJ46" s="467">
        <v>244126.27099999998</v>
      </c>
      <c r="CK46" s="467">
        <v>247674.11500000002</v>
      </c>
      <c r="CL46" s="468">
        <v>251262.89300000001</v>
      </c>
      <c r="CM46" s="19" t="s">
        <v>176</v>
      </c>
      <c r="CN46" s="70">
        <v>213</v>
      </c>
      <c r="CO46" s="70">
        <v>195</v>
      </c>
      <c r="CP46" s="70">
        <v>253</v>
      </c>
      <c r="CQ46" s="70">
        <v>216</v>
      </c>
      <c r="CR46" s="70">
        <v>171</v>
      </c>
      <c r="CS46" s="70">
        <v>199</v>
      </c>
      <c r="CT46" s="70">
        <v>228</v>
      </c>
      <c r="CU46" s="70">
        <v>203</v>
      </c>
      <c r="CV46" s="70">
        <v>213</v>
      </c>
      <c r="CW46" s="70">
        <v>214</v>
      </c>
      <c r="CX46" s="70">
        <v>200</v>
      </c>
      <c r="CY46" s="70">
        <v>218</v>
      </c>
      <c r="CZ46" s="70">
        <v>212</v>
      </c>
      <c r="DA46" s="70">
        <v>185</v>
      </c>
      <c r="DB46" s="70">
        <v>177</v>
      </c>
      <c r="DC46" s="70">
        <v>217</v>
      </c>
      <c r="DD46" s="70">
        <v>168</v>
      </c>
      <c r="DE46" s="70">
        <v>176</v>
      </c>
      <c r="DF46" s="70">
        <v>193</v>
      </c>
      <c r="DG46" s="70">
        <v>194</v>
      </c>
      <c r="DH46" s="70">
        <v>261</v>
      </c>
      <c r="DI46" s="70">
        <v>207</v>
      </c>
      <c r="DJ46" s="70">
        <v>181</v>
      </c>
      <c r="DK46" s="70">
        <v>190</v>
      </c>
      <c r="DL46" s="46">
        <v>204</v>
      </c>
      <c r="DM46" s="46">
        <v>224</v>
      </c>
      <c r="DN46" s="46">
        <v>256</v>
      </c>
      <c r="DO46" s="46">
        <v>243</v>
      </c>
      <c r="DP46" s="46">
        <v>237</v>
      </c>
      <c r="DQ46" s="46">
        <v>274</v>
      </c>
      <c r="DR46" s="46">
        <v>302</v>
      </c>
      <c r="DS46" s="46">
        <v>338</v>
      </c>
      <c r="DT46" s="46">
        <v>348</v>
      </c>
      <c r="DU46" s="46">
        <v>366</v>
      </c>
      <c r="DV46" s="46">
        <v>397</v>
      </c>
      <c r="DW46" s="46">
        <v>359</v>
      </c>
      <c r="DX46" s="46">
        <v>399</v>
      </c>
      <c r="DY46" s="46">
        <v>443</v>
      </c>
      <c r="DZ46" s="46">
        <v>395</v>
      </c>
      <c r="EA46" s="46">
        <v>390</v>
      </c>
      <c r="EB46" s="46">
        <v>357</v>
      </c>
      <c r="EC46" s="46">
        <v>382</v>
      </c>
      <c r="ED46" s="46">
        <v>373</v>
      </c>
      <c r="EE46" s="46">
        <v>380</v>
      </c>
      <c r="EF46" s="46">
        <v>483</v>
      </c>
      <c r="EG46" s="46">
        <v>404</v>
      </c>
      <c r="EH46" s="46">
        <v>413</v>
      </c>
      <c r="EI46" s="46">
        <v>365</v>
      </c>
      <c r="EJ46" s="46">
        <v>448</v>
      </c>
      <c r="EK46" s="46">
        <v>415</v>
      </c>
      <c r="EL46" s="46">
        <v>372</v>
      </c>
      <c r="EM46" s="46">
        <v>371</v>
      </c>
      <c r="EN46" s="46">
        <v>396</v>
      </c>
      <c r="EO46" s="46">
        <v>403</v>
      </c>
      <c r="EP46" s="46">
        <v>438</v>
      </c>
      <c r="EQ46" s="46">
        <v>454</v>
      </c>
      <c r="ER46" s="46">
        <v>526</v>
      </c>
      <c r="ES46" s="46">
        <v>475</v>
      </c>
      <c r="ET46" s="46">
        <v>1182</v>
      </c>
      <c r="EU46" s="46">
        <v>1235</v>
      </c>
      <c r="EV46" s="46">
        <v>1170</v>
      </c>
      <c r="EW46" s="46">
        <v>1418</v>
      </c>
      <c r="EX46" s="71">
        <v>1435.064013042542</v>
      </c>
      <c r="EY46" s="71">
        <v>1483.910240241164</v>
      </c>
      <c r="EZ46" s="71">
        <v>1532.7564674397859</v>
      </c>
      <c r="FA46" s="71">
        <v>1581.6026946384077</v>
      </c>
      <c r="FB46" s="71">
        <v>1630.4489218370297</v>
      </c>
      <c r="FC46" s="71">
        <v>1679.2951490356518</v>
      </c>
      <c r="FD46" s="71">
        <v>1728.1413762342736</v>
      </c>
      <c r="FE46" s="71">
        <v>1776.9876034328952</v>
      </c>
      <c r="FF46" s="72">
        <v>313935</v>
      </c>
      <c r="FG46" s="72">
        <v>317287</v>
      </c>
      <c r="FH46" s="476">
        <v>320524</v>
      </c>
      <c r="FI46" s="476">
        <v>326727.97499999998</v>
      </c>
      <c r="FJ46" s="476">
        <v>331469.217</v>
      </c>
      <c r="FK46" s="476">
        <v>336359.42700000003</v>
      </c>
    </row>
    <row r="47" spans="1:167">
      <c r="A47" s="73" t="s">
        <v>946</v>
      </c>
      <c r="B47" s="19" t="s">
        <v>947</v>
      </c>
      <c r="C47" s="74" t="s">
        <v>692</v>
      </c>
      <c r="D47" s="75" t="s">
        <v>180</v>
      </c>
      <c r="E47" s="76">
        <v>1690</v>
      </c>
      <c r="F47" s="77">
        <v>1575</v>
      </c>
      <c r="G47" s="410">
        <v>1685</v>
      </c>
      <c r="H47" s="78">
        <v>258175</v>
      </c>
      <c r="I47" s="77">
        <v>270160</v>
      </c>
      <c r="J47" s="410">
        <v>279177</v>
      </c>
      <c r="K47" s="410">
        <v>286690.31800000003</v>
      </c>
      <c r="L47" s="418">
        <v>293042.12900000031</v>
      </c>
      <c r="M47" s="79">
        <v>653.79999999999995</v>
      </c>
      <c r="N47" s="80">
        <v>583</v>
      </c>
      <c r="O47" s="421">
        <v>624.4</v>
      </c>
      <c r="P47" s="71">
        <v>1496</v>
      </c>
      <c r="Q47" s="75" t="s">
        <v>180</v>
      </c>
      <c r="R47" s="81">
        <v>635</v>
      </c>
      <c r="S47" s="77">
        <v>690</v>
      </c>
      <c r="T47" s="452">
        <v>1090</v>
      </c>
      <c r="U47" s="77">
        <v>760</v>
      </c>
      <c r="V47" s="77">
        <v>845</v>
      </c>
      <c r="W47" s="452">
        <v>1330</v>
      </c>
      <c r="X47" s="82">
        <v>83.3</v>
      </c>
      <c r="Y47" s="83">
        <v>82</v>
      </c>
      <c r="Z47" s="443">
        <v>81.7</v>
      </c>
      <c r="AA47" s="63">
        <v>915</v>
      </c>
      <c r="AB47" s="63">
        <v>1092</v>
      </c>
      <c r="AC47" s="19" t="s">
        <v>180</v>
      </c>
      <c r="AD47" s="84">
        <v>2457</v>
      </c>
      <c r="AE47" s="85">
        <v>3206</v>
      </c>
      <c r="AF47" s="85">
        <v>3056</v>
      </c>
      <c r="AG47" s="85">
        <v>2632</v>
      </c>
      <c r="AH47" s="85">
        <v>3128</v>
      </c>
      <c r="AI47" s="85">
        <v>2436</v>
      </c>
      <c r="AJ47" s="85">
        <v>2109</v>
      </c>
      <c r="AK47" s="85">
        <v>2327</v>
      </c>
      <c r="AL47" s="85">
        <v>1867</v>
      </c>
      <c r="AM47" s="85">
        <v>1830</v>
      </c>
      <c r="AN47" s="85">
        <v>2160</v>
      </c>
      <c r="AO47" s="85">
        <v>1896</v>
      </c>
      <c r="AP47" s="85">
        <v>1488</v>
      </c>
      <c r="AQ47" s="85">
        <v>1840</v>
      </c>
      <c r="AR47" s="85">
        <v>1889</v>
      </c>
      <c r="AS47" s="85">
        <v>1823</v>
      </c>
      <c r="AT47" s="85">
        <v>1774</v>
      </c>
      <c r="AU47" s="85">
        <v>2057</v>
      </c>
      <c r="AV47" s="85">
        <v>2219</v>
      </c>
      <c r="AW47" s="85">
        <v>2129</v>
      </c>
      <c r="AX47" s="86">
        <v>1777</v>
      </c>
      <c r="AY47" s="86">
        <v>2199</v>
      </c>
      <c r="AZ47" s="86">
        <v>2256</v>
      </c>
      <c r="BA47" s="86">
        <v>2616</v>
      </c>
      <c r="BB47" s="86">
        <v>2032</v>
      </c>
      <c r="BC47" s="86">
        <v>2129</v>
      </c>
      <c r="BD47" s="86">
        <v>2194</v>
      </c>
      <c r="BE47" s="86">
        <v>2208</v>
      </c>
      <c r="BF47" s="86">
        <v>2506</v>
      </c>
      <c r="BG47" s="86">
        <v>2467</v>
      </c>
      <c r="BH47" s="86">
        <v>2160</v>
      </c>
      <c r="BI47" s="86">
        <v>2001</v>
      </c>
      <c r="BJ47" s="86">
        <v>1903</v>
      </c>
      <c r="BK47" s="86">
        <v>2384</v>
      </c>
      <c r="BL47" s="86">
        <v>2965</v>
      </c>
      <c r="BM47" s="86">
        <v>3329</v>
      </c>
      <c r="BN47" s="86">
        <v>3404</v>
      </c>
      <c r="BO47" s="86">
        <v>3236</v>
      </c>
      <c r="BP47" s="86">
        <v>2683</v>
      </c>
      <c r="BQ47" s="86">
        <v>2641</v>
      </c>
      <c r="BR47" s="85">
        <v>2683</v>
      </c>
      <c r="BS47" s="85">
        <v>2716</v>
      </c>
      <c r="BT47" s="85">
        <v>2425</v>
      </c>
      <c r="BU47" s="85">
        <v>2695</v>
      </c>
      <c r="BV47" s="67">
        <v>7252</v>
      </c>
      <c r="BW47" s="67">
        <v>9969</v>
      </c>
      <c r="BX47" s="67">
        <v>8007</v>
      </c>
      <c r="BY47" s="67">
        <v>7836</v>
      </c>
      <c r="BZ47" s="68">
        <v>7769.2433403805489</v>
      </c>
      <c r="CA47" s="68">
        <v>7856.4310782241018</v>
      </c>
      <c r="CB47" s="68">
        <v>7943.6188160676538</v>
      </c>
      <c r="CC47" s="68">
        <v>8030.8065539112049</v>
      </c>
      <c r="CD47" s="68">
        <v>8117.994291754756</v>
      </c>
      <c r="CE47" s="68">
        <v>8205.1820295983089</v>
      </c>
      <c r="CF47" s="68">
        <v>8292.3697674418618</v>
      </c>
      <c r="CG47" s="68">
        <v>8379.5575052854128</v>
      </c>
      <c r="CH47" s="87">
        <v>1109800</v>
      </c>
      <c r="CI47" s="467">
        <v>1118167</v>
      </c>
      <c r="CJ47" s="467">
        <v>1126395.1159999997</v>
      </c>
      <c r="CK47" s="467">
        <v>1135221.247999999</v>
      </c>
      <c r="CL47" s="468">
        <v>1144254.1199999985</v>
      </c>
      <c r="CM47" s="19" t="s">
        <v>180</v>
      </c>
      <c r="CN47" s="70">
        <v>1904</v>
      </c>
      <c r="CO47" s="70">
        <v>1802</v>
      </c>
      <c r="CP47" s="70">
        <v>1830</v>
      </c>
      <c r="CQ47" s="70">
        <v>1785</v>
      </c>
      <c r="CR47" s="70">
        <v>1699</v>
      </c>
      <c r="CS47" s="70">
        <v>1840</v>
      </c>
      <c r="CT47" s="70">
        <v>1953</v>
      </c>
      <c r="CU47" s="70">
        <v>1997</v>
      </c>
      <c r="CV47" s="70">
        <v>2233</v>
      </c>
      <c r="CW47" s="70">
        <v>2065</v>
      </c>
      <c r="CX47" s="70">
        <v>1873</v>
      </c>
      <c r="CY47" s="70">
        <v>1942</v>
      </c>
      <c r="CZ47" s="70">
        <v>1946</v>
      </c>
      <c r="DA47" s="70">
        <v>1968</v>
      </c>
      <c r="DB47" s="70">
        <v>1818</v>
      </c>
      <c r="DC47" s="70">
        <v>1781</v>
      </c>
      <c r="DD47" s="70">
        <v>1772</v>
      </c>
      <c r="DE47" s="70">
        <v>1814</v>
      </c>
      <c r="DF47" s="70">
        <v>1990</v>
      </c>
      <c r="DG47" s="70">
        <v>2043</v>
      </c>
      <c r="DH47" s="70">
        <v>2415</v>
      </c>
      <c r="DI47" s="70">
        <v>2241</v>
      </c>
      <c r="DJ47" s="70">
        <v>1901</v>
      </c>
      <c r="DK47" s="70">
        <v>1991</v>
      </c>
      <c r="DL47" s="46">
        <v>1883</v>
      </c>
      <c r="DM47" s="46">
        <v>1864</v>
      </c>
      <c r="DN47" s="46">
        <v>1909</v>
      </c>
      <c r="DO47" s="46">
        <v>1823</v>
      </c>
      <c r="DP47" s="46">
        <v>1839</v>
      </c>
      <c r="DQ47" s="46">
        <v>1819</v>
      </c>
      <c r="DR47" s="46">
        <v>1994</v>
      </c>
      <c r="DS47" s="46">
        <v>2046</v>
      </c>
      <c r="DT47" s="46">
        <v>2341</v>
      </c>
      <c r="DU47" s="46">
        <v>2136</v>
      </c>
      <c r="DV47" s="46">
        <v>2131</v>
      </c>
      <c r="DW47" s="46">
        <v>2037</v>
      </c>
      <c r="DX47" s="46">
        <v>2121</v>
      </c>
      <c r="DY47" s="46">
        <v>2308</v>
      </c>
      <c r="DZ47" s="46">
        <v>2014</v>
      </c>
      <c r="EA47" s="46">
        <v>2055</v>
      </c>
      <c r="EB47" s="46">
        <v>1900</v>
      </c>
      <c r="EC47" s="46">
        <v>1933</v>
      </c>
      <c r="ED47" s="46">
        <v>2108</v>
      </c>
      <c r="EE47" s="46">
        <v>2164</v>
      </c>
      <c r="EF47" s="46">
        <v>2470</v>
      </c>
      <c r="EG47" s="46">
        <v>2341</v>
      </c>
      <c r="EH47" s="46">
        <v>2147</v>
      </c>
      <c r="EI47" s="46">
        <v>2306</v>
      </c>
      <c r="EJ47" s="46">
        <v>2342</v>
      </c>
      <c r="EK47" s="46">
        <v>2182</v>
      </c>
      <c r="EL47" s="46">
        <v>2082</v>
      </c>
      <c r="EM47" s="46">
        <v>2087</v>
      </c>
      <c r="EN47" s="46">
        <v>2017</v>
      </c>
      <c r="EO47" s="46">
        <v>2147</v>
      </c>
      <c r="EP47" s="46">
        <v>2398</v>
      </c>
      <c r="EQ47" s="46">
        <v>2426</v>
      </c>
      <c r="ER47" s="46">
        <v>2900</v>
      </c>
      <c r="ES47" s="46">
        <v>2237</v>
      </c>
      <c r="ET47" s="46">
        <v>6794</v>
      </c>
      <c r="EU47" s="46">
        <v>6606</v>
      </c>
      <c r="EV47" s="46">
        <v>6251</v>
      </c>
      <c r="EW47" s="46">
        <v>7724</v>
      </c>
      <c r="EX47" s="71">
        <v>6985.1717985788564</v>
      </c>
      <c r="EY47" s="71">
        <v>7061.2619274662402</v>
      </c>
      <c r="EZ47" s="71">
        <v>7137.3520563536258</v>
      </c>
      <c r="FA47" s="71">
        <v>7213.4421852410114</v>
      </c>
      <c r="FB47" s="71">
        <v>7289.5323141283952</v>
      </c>
      <c r="FC47" s="71">
        <v>7365.6224430157818</v>
      </c>
      <c r="FD47" s="71">
        <v>7441.7125719031656</v>
      </c>
      <c r="FE47" s="71">
        <v>7517.8027007905512</v>
      </c>
      <c r="FF47" s="72">
        <v>1396599</v>
      </c>
      <c r="FG47" s="72">
        <v>1406517</v>
      </c>
      <c r="FH47" s="476">
        <v>1416405</v>
      </c>
      <c r="FI47" s="476">
        <v>1426001.7950000002</v>
      </c>
      <c r="FJ47" s="476">
        <v>1436652.8580000002</v>
      </c>
      <c r="FK47" s="476">
        <v>1447781.4990000001</v>
      </c>
    </row>
    <row r="48" spans="1:167">
      <c r="A48" s="73" t="s">
        <v>939</v>
      </c>
      <c r="B48" s="19" t="s">
        <v>940</v>
      </c>
      <c r="C48" s="74" t="s">
        <v>693</v>
      </c>
      <c r="D48" s="75" t="s">
        <v>184</v>
      </c>
      <c r="E48" s="76">
        <v>320</v>
      </c>
      <c r="F48" s="77">
        <v>325</v>
      </c>
      <c r="G48" s="410">
        <v>345</v>
      </c>
      <c r="H48" s="78">
        <v>35410</v>
      </c>
      <c r="I48" s="77">
        <v>36440</v>
      </c>
      <c r="J48" s="410">
        <v>37205</v>
      </c>
      <c r="K48" s="410">
        <v>37849.583000000006</v>
      </c>
      <c r="L48" s="418">
        <v>38422.75</v>
      </c>
      <c r="M48" s="79">
        <v>903.7</v>
      </c>
      <c r="N48" s="80">
        <v>889.1</v>
      </c>
      <c r="O48" s="421">
        <v>944</v>
      </c>
      <c r="P48" s="71">
        <v>305</v>
      </c>
      <c r="Q48" s="75" t="s">
        <v>184</v>
      </c>
      <c r="R48" s="81">
        <v>260</v>
      </c>
      <c r="S48" s="77">
        <v>275</v>
      </c>
      <c r="T48" s="452">
        <v>255</v>
      </c>
      <c r="U48" s="77">
        <v>300</v>
      </c>
      <c r="V48" s="77">
        <v>325</v>
      </c>
      <c r="W48" s="452">
        <v>300</v>
      </c>
      <c r="X48" s="82">
        <v>86.8</v>
      </c>
      <c r="Y48" s="83">
        <v>84.7</v>
      </c>
      <c r="Z48" s="443">
        <v>86</v>
      </c>
      <c r="AA48" s="63">
        <v>284</v>
      </c>
      <c r="AB48" s="63">
        <v>326</v>
      </c>
      <c r="AC48" s="19" t="s">
        <v>184</v>
      </c>
      <c r="AD48" s="84">
        <v>403</v>
      </c>
      <c r="AE48" s="85">
        <v>584</v>
      </c>
      <c r="AF48" s="85">
        <v>494</v>
      </c>
      <c r="AG48" s="85">
        <v>317</v>
      </c>
      <c r="AH48" s="85">
        <v>330</v>
      </c>
      <c r="AI48" s="85">
        <v>374</v>
      </c>
      <c r="AJ48" s="85">
        <v>273</v>
      </c>
      <c r="AK48" s="85">
        <v>266</v>
      </c>
      <c r="AL48" s="85">
        <v>222</v>
      </c>
      <c r="AM48" s="85">
        <v>211</v>
      </c>
      <c r="AN48" s="85">
        <v>234</v>
      </c>
      <c r="AO48" s="85">
        <v>150</v>
      </c>
      <c r="AP48" s="85">
        <v>926</v>
      </c>
      <c r="AQ48" s="85">
        <v>711</v>
      </c>
      <c r="AR48" s="85">
        <v>618</v>
      </c>
      <c r="AS48" s="85">
        <v>380</v>
      </c>
      <c r="AT48" s="85">
        <v>312</v>
      </c>
      <c r="AU48" s="85">
        <v>148</v>
      </c>
      <c r="AV48" s="85">
        <v>167</v>
      </c>
      <c r="AW48" s="85">
        <v>331</v>
      </c>
      <c r="AX48" s="86">
        <v>273</v>
      </c>
      <c r="AY48" s="86">
        <v>220</v>
      </c>
      <c r="AZ48" s="86">
        <v>211</v>
      </c>
      <c r="BA48" s="86">
        <v>217</v>
      </c>
      <c r="BB48" s="86">
        <v>220</v>
      </c>
      <c r="BC48" s="86">
        <v>212</v>
      </c>
      <c r="BD48" s="86">
        <v>194</v>
      </c>
      <c r="BE48" s="86">
        <v>262</v>
      </c>
      <c r="BF48" s="86">
        <v>336</v>
      </c>
      <c r="BG48" s="86">
        <v>532</v>
      </c>
      <c r="BH48" s="86">
        <v>620</v>
      </c>
      <c r="BI48" s="86">
        <v>391</v>
      </c>
      <c r="BJ48" s="86">
        <v>283</v>
      </c>
      <c r="BK48" s="86">
        <v>225</v>
      </c>
      <c r="BL48" s="86">
        <v>438</v>
      </c>
      <c r="BM48" s="86">
        <v>553</v>
      </c>
      <c r="BN48" s="86">
        <v>343</v>
      </c>
      <c r="BO48" s="86">
        <v>299</v>
      </c>
      <c r="BP48" s="86">
        <v>297</v>
      </c>
      <c r="BQ48" s="86">
        <v>211</v>
      </c>
      <c r="BR48" s="85">
        <v>270</v>
      </c>
      <c r="BS48" s="85">
        <v>130</v>
      </c>
      <c r="BT48" s="85">
        <v>164</v>
      </c>
      <c r="BU48" s="85">
        <v>258</v>
      </c>
      <c r="BV48" s="67">
        <v>946</v>
      </c>
      <c r="BW48" s="67">
        <v>1195</v>
      </c>
      <c r="BX48" s="67">
        <v>778</v>
      </c>
      <c r="BY48" s="67">
        <v>552</v>
      </c>
      <c r="BZ48" s="68">
        <v>797.47441860465119</v>
      </c>
      <c r="CA48" s="68">
        <v>772.11331923890077</v>
      </c>
      <c r="CB48" s="68">
        <v>746.75221987315012</v>
      </c>
      <c r="CC48" s="68">
        <v>721.39112050739959</v>
      </c>
      <c r="CD48" s="68">
        <v>696.03002114164906</v>
      </c>
      <c r="CE48" s="68">
        <v>670.66892177589864</v>
      </c>
      <c r="CF48" s="68">
        <v>645.30782241014799</v>
      </c>
      <c r="CG48" s="68">
        <v>619.94672304439746</v>
      </c>
      <c r="CH48" s="87">
        <v>159800</v>
      </c>
      <c r="CI48" s="467">
        <v>159800</v>
      </c>
      <c r="CJ48" s="467">
        <v>160937.15799999997</v>
      </c>
      <c r="CK48" s="467">
        <v>161543.91200000001</v>
      </c>
      <c r="CL48" s="468">
        <v>162100.74400000004</v>
      </c>
      <c r="CM48" s="19" t="s">
        <v>184</v>
      </c>
      <c r="CN48" s="70">
        <v>527</v>
      </c>
      <c r="CO48" s="70">
        <v>464</v>
      </c>
      <c r="CP48" s="70">
        <v>417</v>
      </c>
      <c r="CQ48" s="70">
        <v>447</v>
      </c>
      <c r="CR48" s="70">
        <v>405</v>
      </c>
      <c r="CS48" s="70">
        <v>432</v>
      </c>
      <c r="CT48" s="70">
        <v>570</v>
      </c>
      <c r="CU48" s="70">
        <v>569</v>
      </c>
      <c r="CV48" s="70">
        <v>584</v>
      </c>
      <c r="CW48" s="70">
        <v>552</v>
      </c>
      <c r="CX48" s="70">
        <v>485</v>
      </c>
      <c r="CY48" s="70">
        <v>526</v>
      </c>
      <c r="CZ48" s="70">
        <v>508</v>
      </c>
      <c r="DA48" s="70">
        <v>520</v>
      </c>
      <c r="DB48" s="70">
        <v>461</v>
      </c>
      <c r="DC48" s="70">
        <v>456</v>
      </c>
      <c r="DD48" s="70">
        <v>400</v>
      </c>
      <c r="DE48" s="70">
        <v>427</v>
      </c>
      <c r="DF48" s="70">
        <v>458</v>
      </c>
      <c r="DG48" s="70">
        <v>447</v>
      </c>
      <c r="DH48" s="70">
        <v>582</v>
      </c>
      <c r="DI48" s="70">
        <v>617</v>
      </c>
      <c r="DJ48" s="70">
        <v>478</v>
      </c>
      <c r="DK48" s="70">
        <v>469</v>
      </c>
      <c r="DL48" s="46">
        <v>480</v>
      </c>
      <c r="DM48" s="46">
        <v>521</v>
      </c>
      <c r="DN48" s="46">
        <v>441</v>
      </c>
      <c r="DO48" s="46">
        <v>456</v>
      </c>
      <c r="DP48" s="46">
        <v>469</v>
      </c>
      <c r="DQ48" s="46">
        <v>440</v>
      </c>
      <c r="DR48" s="46">
        <v>483</v>
      </c>
      <c r="DS48" s="46">
        <v>545</v>
      </c>
      <c r="DT48" s="46">
        <v>534</v>
      </c>
      <c r="DU48" s="46">
        <v>572</v>
      </c>
      <c r="DV48" s="46">
        <v>556</v>
      </c>
      <c r="DW48" s="46">
        <v>567</v>
      </c>
      <c r="DX48" s="46">
        <v>503</v>
      </c>
      <c r="DY48" s="46">
        <v>509</v>
      </c>
      <c r="DZ48" s="46">
        <v>478</v>
      </c>
      <c r="EA48" s="46">
        <v>505</v>
      </c>
      <c r="EB48" s="46">
        <v>467</v>
      </c>
      <c r="EC48" s="46">
        <v>425</v>
      </c>
      <c r="ED48" s="46">
        <v>491</v>
      </c>
      <c r="EE48" s="46">
        <v>611</v>
      </c>
      <c r="EF48" s="46">
        <v>652</v>
      </c>
      <c r="EG48" s="46">
        <v>559</v>
      </c>
      <c r="EH48" s="46">
        <v>468</v>
      </c>
      <c r="EI48" s="46">
        <v>508</v>
      </c>
      <c r="EJ48" s="46">
        <v>512</v>
      </c>
      <c r="EK48" s="46">
        <v>478</v>
      </c>
      <c r="EL48" s="46">
        <v>422</v>
      </c>
      <c r="EM48" s="46">
        <v>484</v>
      </c>
      <c r="EN48" s="46">
        <v>404</v>
      </c>
      <c r="EO48" s="46">
        <v>501</v>
      </c>
      <c r="EP48" s="46">
        <v>509</v>
      </c>
      <c r="EQ48" s="46">
        <v>465</v>
      </c>
      <c r="ER48" s="46">
        <v>551</v>
      </c>
      <c r="ES48" s="46">
        <v>470</v>
      </c>
      <c r="ET48" s="46">
        <v>1535</v>
      </c>
      <c r="EU48" s="46">
        <v>1412</v>
      </c>
      <c r="EV48" s="46">
        <v>1389</v>
      </c>
      <c r="EW48" s="46">
        <v>1525</v>
      </c>
      <c r="EX48" s="71">
        <v>1516.1591559260514</v>
      </c>
      <c r="EY48" s="71">
        <v>1518.4290196560953</v>
      </c>
      <c r="EZ48" s="71">
        <v>1520.6988833861392</v>
      </c>
      <c r="FA48" s="71">
        <v>1522.9687471161831</v>
      </c>
      <c r="FB48" s="71">
        <v>1525.2386108462272</v>
      </c>
      <c r="FC48" s="71">
        <v>1527.5084745762711</v>
      </c>
      <c r="FD48" s="71">
        <v>1529.7783383063152</v>
      </c>
      <c r="FE48" s="71">
        <v>1532.0482020363593</v>
      </c>
      <c r="FF48" s="72">
        <v>200349</v>
      </c>
      <c r="FG48" s="72">
        <v>200153</v>
      </c>
      <c r="FH48" s="476">
        <v>199998</v>
      </c>
      <c r="FI48" s="476">
        <v>201050.149</v>
      </c>
      <c r="FJ48" s="476">
        <v>201572.402</v>
      </c>
      <c r="FK48" s="476">
        <v>202144.65100000001</v>
      </c>
    </row>
    <row r="49" spans="1:167">
      <c r="A49" s="73" t="s">
        <v>903</v>
      </c>
      <c r="B49" s="19" t="s">
        <v>904</v>
      </c>
      <c r="C49" s="74" t="s">
        <v>694</v>
      </c>
      <c r="D49" s="75" t="s">
        <v>188</v>
      </c>
      <c r="E49" s="76">
        <v>810</v>
      </c>
      <c r="F49" s="77">
        <v>925</v>
      </c>
      <c r="G49" s="410">
        <v>965</v>
      </c>
      <c r="H49" s="78">
        <v>112405</v>
      </c>
      <c r="I49" s="77">
        <v>117060</v>
      </c>
      <c r="J49" s="410">
        <v>120356</v>
      </c>
      <c r="K49" s="410">
        <v>124223.47700000004</v>
      </c>
      <c r="L49" s="418">
        <v>127436.77900000004</v>
      </c>
      <c r="M49" s="79">
        <v>719.7</v>
      </c>
      <c r="N49" s="80">
        <v>791</v>
      </c>
      <c r="O49" s="421">
        <v>822.6</v>
      </c>
      <c r="P49" s="71">
        <v>907</v>
      </c>
      <c r="Q49" s="75" t="s">
        <v>188</v>
      </c>
      <c r="R49" s="81">
        <v>175</v>
      </c>
      <c r="S49" s="77">
        <v>430</v>
      </c>
      <c r="T49" s="452">
        <v>375</v>
      </c>
      <c r="U49" s="77">
        <v>205</v>
      </c>
      <c r="V49" s="77">
        <v>605</v>
      </c>
      <c r="W49" s="452">
        <v>535</v>
      </c>
      <c r="X49" s="82">
        <v>85.8</v>
      </c>
      <c r="Y49" s="83">
        <v>71.599999999999994</v>
      </c>
      <c r="Z49" s="443">
        <v>70.400000000000006</v>
      </c>
      <c r="AA49" s="63">
        <v>488</v>
      </c>
      <c r="AB49" s="63">
        <v>630</v>
      </c>
      <c r="AC49" s="19" t="s">
        <v>188</v>
      </c>
      <c r="AD49" s="84">
        <v>960</v>
      </c>
      <c r="AE49" s="85">
        <v>1335</v>
      </c>
      <c r="AF49" s="85">
        <v>1662</v>
      </c>
      <c r="AG49" s="85">
        <v>1862</v>
      </c>
      <c r="AH49" s="85">
        <v>2419</v>
      </c>
      <c r="AI49" s="85">
        <v>1645</v>
      </c>
      <c r="AJ49" s="85">
        <v>1325</v>
      </c>
      <c r="AK49" s="85">
        <v>1854</v>
      </c>
      <c r="AL49" s="85">
        <v>1973</v>
      </c>
      <c r="AM49" s="85">
        <v>2481</v>
      </c>
      <c r="AN49" s="85">
        <v>2916</v>
      </c>
      <c r="AO49" s="85">
        <v>1209</v>
      </c>
      <c r="AP49" s="85">
        <v>1052</v>
      </c>
      <c r="AQ49" s="85">
        <v>1010</v>
      </c>
      <c r="AR49" s="85">
        <v>1306</v>
      </c>
      <c r="AS49" s="85">
        <v>1224</v>
      </c>
      <c r="AT49" s="85">
        <v>1512</v>
      </c>
      <c r="AU49" s="85">
        <v>1652</v>
      </c>
      <c r="AV49" s="85">
        <v>2086</v>
      </c>
      <c r="AW49" s="85">
        <v>1584</v>
      </c>
      <c r="AX49" s="86">
        <v>1686</v>
      </c>
      <c r="AY49" s="86">
        <v>1502</v>
      </c>
      <c r="AZ49" s="86">
        <v>949</v>
      </c>
      <c r="BA49" s="86">
        <v>1177</v>
      </c>
      <c r="BB49" s="86">
        <v>1353</v>
      </c>
      <c r="BC49" s="86">
        <v>1446</v>
      </c>
      <c r="BD49" s="86">
        <v>1873</v>
      </c>
      <c r="BE49" s="86">
        <v>1560</v>
      </c>
      <c r="BF49" s="86">
        <v>1563</v>
      </c>
      <c r="BG49" s="86">
        <v>2003</v>
      </c>
      <c r="BH49" s="86">
        <v>1063</v>
      </c>
      <c r="BI49" s="86">
        <v>1800</v>
      </c>
      <c r="BJ49" s="86">
        <v>1293</v>
      </c>
      <c r="BK49" s="86">
        <v>1636</v>
      </c>
      <c r="BL49" s="86">
        <v>718</v>
      </c>
      <c r="BM49" s="86">
        <v>741</v>
      </c>
      <c r="BN49" s="86">
        <v>920</v>
      </c>
      <c r="BO49" s="86">
        <v>656</v>
      </c>
      <c r="BP49" s="86">
        <v>1158</v>
      </c>
      <c r="BQ49" s="86">
        <v>1030</v>
      </c>
      <c r="BR49" s="85">
        <v>616</v>
      </c>
      <c r="BS49" s="85">
        <v>783</v>
      </c>
      <c r="BT49" s="85">
        <v>901</v>
      </c>
      <c r="BU49" s="85">
        <v>750</v>
      </c>
      <c r="BV49" s="67">
        <v>3647</v>
      </c>
      <c r="BW49" s="67">
        <v>2317</v>
      </c>
      <c r="BX49" s="67">
        <v>2804</v>
      </c>
      <c r="BY49" s="67">
        <v>2434</v>
      </c>
      <c r="BZ49" s="68">
        <v>2753.6414376321354</v>
      </c>
      <c r="CA49" s="68">
        <v>2563.3945031712478</v>
      </c>
      <c r="CB49" s="68">
        <v>2373.1475687103602</v>
      </c>
      <c r="CC49" s="68">
        <v>2182.9006342494722</v>
      </c>
      <c r="CD49" s="68">
        <v>1992.6536997885837</v>
      </c>
      <c r="CE49" s="68">
        <v>1802.4067653276959</v>
      </c>
      <c r="CF49" s="68">
        <v>1612.1598308668081</v>
      </c>
      <c r="CG49" s="68">
        <v>1421.9128964059203</v>
      </c>
      <c r="CH49" s="87">
        <v>479700</v>
      </c>
      <c r="CI49" s="467">
        <v>482920</v>
      </c>
      <c r="CJ49" s="467">
        <v>486609.01500000036</v>
      </c>
      <c r="CK49" s="467">
        <v>490167.68</v>
      </c>
      <c r="CL49" s="468">
        <v>493741.64399999968</v>
      </c>
      <c r="CM49" s="19" t="s">
        <v>188</v>
      </c>
      <c r="CN49" s="70">
        <v>852</v>
      </c>
      <c r="CO49" s="70">
        <v>748</v>
      </c>
      <c r="CP49" s="70">
        <v>754</v>
      </c>
      <c r="CQ49" s="70">
        <v>665</v>
      </c>
      <c r="CR49" s="70">
        <v>688</v>
      </c>
      <c r="CS49" s="70">
        <v>764</v>
      </c>
      <c r="CT49" s="70">
        <v>893</v>
      </c>
      <c r="CU49" s="70">
        <v>856</v>
      </c>
      <c r="CV49" s="70">
        <v>1015</v>
      </c>
      <c r="CW49" s="70">
        <v>861</v>
      </c>
      <c r="CX49" s="70">
        <v>814</v>
      </c>
      <c r="CY49" s="70">
        <v>892</v>
      </c>
      <c r="CZ49" s="70">
        <v>840</v>
      </c>
      <c r="DA49" s="70">
        <v>766</v>
      </c>
      <c r="DB49" s="70">
        <v>731</v>
      </c>
      <c r="DC49" s="70">
        <v>782</v>
      </c>
      <c r="DD49" s="70">
        <v>655</v>
      </c>
      <c r="DE49" s="70">
        <v>783</v>
      </c>
      <c r="DF49" s="70">
        <v>854</v>
      </c>
      <c r="DG49" s="70">
        <v>902</v>
      </c>
      <c r="DH49" s="70">
        <v>1033</v>
      </c>
      <c r="DI49" s="70">
        <v>942</v>
      </c>
      <c r="DJ49" s="70">
        <v>877</v>
      </c>
      <c r="DK49" s="70">
        <v>926</v>
      </c>
      <c r="DL49" s="46">
        <v>881</v>
      </c>
      <c r="DM49" s="46">
        <v>777</v>
      </c>
      <c r="DN49" s="46">
        <v>737</v>
      </c>
      <c r="DO49" s="46">
        <v>764</v>
      </c>
      <c r="DP49" s="46">
        <v>783</v>
      </c>
      <c r="DQ49" s="46">
        <v>848</v>
      </c>
      <c r="DR49" s="46">
        <v>804</v>
      </c>
      <c r="DS49" s="46">
        <v>907</v>
      </c>
      <c r="DT49" s="46">
        <v>1093</v>
      </c>
      <c r="DU49" s="46">
        <v>963</v>
      </c>
      <c r="DV49" s="46">
        <v>993</v>
      </c>
      <c r="DW49" s="46">
        <v>1066</v>
      </c>
      <c r="DX49" s="46">
        <v>897</v>
      </c>
      <c r="DY49" s="46">
        <v>917</v>
      </c>
      <c r="DZ49" s="46">
        <v>931</v>
      </c>
      <c r="EA49" s="46">
        <v>954</v>
      </c>
      <c r="EB49" s="46">
        <v>856</v>
      </c>
      <c r="EC49" s="46">
        <v>881</v>
      </c>
      <c r="ED49" s="46">
        <v>1011</v>
      </c>
      <c r="EE49" s="46">
        <v>1109</v>
      </c>
      <c r="EF49" s="46">
        <v>1196</v>
      </c>
      <c r="EG49" s="46">
        <v>1104</v>
      </c>
      <c r="EH49" s="46">
        <v>952</v>
      </c>
      <c r="EI49" s="46">
        <v>1065</v>
      </c>
      <c r="EJ49" s="46">
        <v>1148</v>
      </c>
      <c r="EK49" s="46">
        <v>1001</v>
      </c>
      <c r="EL49" s="46">
        <v>836</v>
      </c>
      <c r="EM49" s="46">
        <v>955</v>
      </c>
      <c r="EN49" s="46">
        <v>801</v>
      </c>
      <c r="EO49" s="46">
        <v>918</v>
      </c>
      <c r="EP49" s="46">
        <v>882</v>
      </c>
      <c r="EQ49" s="46">
        <v>949</v>
      </c>
      <c r="ER49" s="46">
        <v>1145</v>
      </c>
      <c r="ES49" s="46">
        <v>797</v>
      </c>
      <c r="ET49" s="46">
        <v>3121</v>
      </c>
      <c r="EU49" s="46">
        <v>2985</v>
      </c>
      <c r="EV49" s="46">
        <v>2674</v>
      </c>
      <c r="EW49" s="46">
        <v>2976</v>
      </c>
      <c r="EX49" s="71">
        <v>3072.1638930757631</v>
      </c>
      <c r="EY49" s="71">
        <v>3108.3604540281149</v>
      </c>
      <c r="EZ49" s="71">
        <v>3144.5570149804666</v>
      </c>
      <c r="FA49" s="71">
        <v>3180.7535759328184</v>
      </c>
      <c r="FB49" s="71">
        <v>3216.9501368851702</v>
      </c>
      <c r="FC49" s="71">
        <v>3253.146697837522</v>
      </c>
      <c r="FD49" s="71">
        <v>3289.3432587898733</v>
      </c>
      <c r="FE49" s="71">
        <v>3325.5398197422246</v>
      </c>
      <c r="FF49" s="72">
        <v>598289</v>
      </c>
      <c r="FG49" s="72">
        <v>602159</v>
      </c>
      <c r="FH49" s="476">
        <v>605654</v>
      </c>
      <c r="FI49" s="476">
        <v>609830.86300000001</v>
      </c>
      <c r="FJ49" s="476">
        <v>613908.34900000005</v>
      </c>
      <c r="FK49" s="476">
        <v>618199.63599999994</v>
      </c>
    </row>
    <row r="50" spans="1:167">
      <c r="A50" s="73" t="s">
        <v>907</v>
      </c>
      <c r="B50" s="19" t="s">
        <v>908</v>
      </c>
      <c r="C50" s="74" t="s">
        <v>695</v>
      </c>
      <c r="D50" s="75" t="s">
        <v>192</v>
      </c>
      <c r="E50" s="76">
        <v>160</v>
      </c>
      <c r="F50" s="77">
        <v>195</v>
      </c>
      <c r="G50" s="410">
        <v>180</v>
      </c>
      <c r="H50" s="78">
        <v>26230</v>
      </c>
      <c r="I50" s="77">
        <v>27035</v>
      </c>
      <c r="J50" s="410">
        <v>27623</v>
      </c>
      <c r="K50" s="410">
        <v>27930.046999999999</v>
      </c>
      <c r="L50" s="418">
        <v>28312.827999999998</v>
      </c>
      <c r="M50" s="79">
        <v>617.6</v>
      </c>
      <c r="N50" s="80">
        <v>717.6</v>
      </c>
      <c r="O50" s="421">
        <v>665.8</v>
      </c>
      <c r="P50" s="71">
        <v>186</v>
      </c>
      <c r="Q50" s="75" t="s">
        <v>192</v>
      </c>
      <c r="R50" s="81">
        <v>165</v>
      </c>
      <c r="S50" s="77">
        <v>170</v>
      </c>
      <c r="T50" s="452">
        <v>175</v>
      </c>
      <c r="U50" s="77">
        <v>210</v>
      </c>
      <c r="V50" s="77">
        <v>190</v>
      </c>
      <c r="W50" s="452">
        <v>190</v>
      </c>
      <c r="X50" s="82">
        <v>78.8</v>
      </c>
      <c r="Y50" s="83">
        <v>88.5</v>
      </c>
      <c r="Z50" s="443">
        <v>90.1</v>
      </c>
      <c r="AA50" s="63">
        <v>183</v>
      </c>
      <c r="AB50" s="63">
        <v>200</v>
      </c>
      <c r="AC50" s="19" t="s">
        <v>192</v>
      </c>
      <c r="AD50" s="84">
        <v>369</v>
      </c>
      <c r="AE50" s="85">
        <v>524</v>
      </c>
      <c r="AF50" s="85">
        <v>504</v>
      </c>
      <c r="AG50" s="85">
        <v>416</v>
      </c>
      <c r="AH50" s="85">
        <v>442</v>
      </c>
      <c r="AI50" s="85">
        <v>581</v>
      </c>
      <c r="AJ50" s="85">
        <v>280</v>
      </c>
      <c r="AK50" s="85">
        <v>302</v>
      </c>
      <c r="AL50" s="85">
        <v>300</v>
      </c>
      <c r="AM50" s="85">
        <v>393</v>
      </c>
      <c r="AN50" s="85">
        <v>283</v>
      </c>
      <c r="AO50" s="85">
        <v>271</v>
      </c>
      <c r="AP50" s="85">
        <v>361</v>
      </c>
      <c r="AQ50" s="85">
        <v>460</v>
      </c>
      <c r="AR50" s="85">
        <v>303</v>
      </c>
      <c r="AS50" s="85">
        <v>146</v>
      </c>
      <c r="AT50" s="85">
        <v>502</v>
      </c>
      <c r="AU50" s="85">
        <v>396</v>
      </c>
      <c r="AV50" s="85">
        <v>363</v>
      </c>
      <c r="AW50" s="85">
        <v>360</v>
      </c>
      <c r="AX50" s="86">
        <v>286</v>
      </c>
      <c r="AY50" s="86">
        <v>366</v>
      </c>
      <c r="AZ50" s="86">
        <v>243</v>
      </c>
      <c r="BA50" s="86">
        <v>273</v>
      </c>
      <c r="BB50" s="86">
        <v>200</v>
      </c>
      <c r="BC50" s="86">
        <v>106</v>
      </c>
      <c r="BD50" s="86">
        <v>107</v>
      </c>
      <c r="BE50" s="86">
        <v>324</v>
      </c>
      <c r="BF50" s="86">
        <v>252</v>
      </c>
      <c r="BG50" s="86">
        <v>299</v>
      </c>
      <c r="BH50" s="86">
        <v>223</v>
      </c>
      <c r="BI50" s="86">
        <v>275</v>
      </c>
      <c r="BJ50" s="86">
        <v>271</v>
      </c>
      <c r="BK50" s="86">
        <v>368</v>
      </c>
      <c r="BL50" s="86">
        <v>333</v>
      </c>
      <c r="BM50" s="86">
        <v>288</v>
      </c>
      <c r="BN50" s="86">
        <v>264</v>
      </c>
      <c r="BO50" s="86">
        <v>359</v>
      </c>
      <c r="BP50" s="86">
        <v>244</v>
      </c>
      <c r="BQ50" s="86">
        <v>346</v>
      </c>
      <c r="BR50" s="85">
        <v>355</v>
      </c>
      <c r="BS50" s="85">
        <v>342</v>
      </c>
      <c r="BT50" s="85">
        <v>309</v>
      </c>
      <c r="BU50" s="85">
        <v>422</v>
      </c>
      <c r="BV50" s="67">
        <v>972</v>
      </c>
      <c r="BW50" s="67">
        <v>911</v>
      </c>
      <c r="BX50" s="67">
        <v>945</v>
      </c>
      <c r="BY50" s="67">
        <v>1073</v>
      </c>
      <c r="BZ50" s="68">
        <v>784.93467230443957</v>
      </c>
      <c r="CA50" s="68">
        <v>759.7048625792811</v>
      </c>
      <c r="CB50" s="68">
        <v>734.47505285412251</v>
      </c>
      <c r="CC50" s="68">
        <v>709.24524312896392</v>
      </c>
      <c r="CD50" s="68">
        <v>684.01543340380545</v>
      </c>
      <c r="CE50" s="68">
        <v>658.78562367864686</v>
      </c>
      <c r="CF50" s="68">
        <v>633.55581395348827</v>
      </c>
      <c r="CG50" s="68">
        <v>608.32600422832979</v>
      </c>
      <c r="CH50" s="87">
        <v>197600</v>
      </c>
      <c r="CI50" s="467">
        <v>200318</v>
      </c>
      <c r="CJ50" s="467">
        <v>202251.79699999999</v>
      </c>
      <c r="CK50" s="467">
        <v>204638.353</v>
      </c>
      <c r="CL50" s="468">
        <v>207117.68099999998</v>
      </c>
      <c r="CM50" s="19" t="s">
        <v>192</v>
      </c>
      <c r="CN50" s="70">
        <v>277</v>
      </c>
      <c r="CO50" s="70">
        <v>302</v>
      </c>
      <c r="CP50" s="70">
        <v>278</v>
      </c>
      <c r="CQ50" s="70">
        <v>293</v>
      </c>
      <c r="CR50" s="70">
        <v>251</v>
      </c>
      <c r="CS50" s="70">
        <v>268</v>
      </c>
      <c r="CT50" s="70">
        <v>310</v>
      </c>
      <c r="CU50" s="70">
        <v>306</v>
      </c>
      <c r="CV50" s="70">
        <v>356</v>
      </c>
      <c r="CW50" s="70">
        <v>378</v>
      </c>
      <c r="CX50" s="70">
        <v>312</v>
      </c>
      <c r="CY50" s="70">
        <v>365</v>
      </c>
      <c r="CZ50" s="70">
        <v>338</v>
      </c>
      <c r="DA50" s="70">
        <v>332</v>
      </c>
      <c r="DB50" s="70">
        <v>303</v>
      </c>
      <c r="DC50" s="70">
        <v>301</v>
      </c>
      <c r="DD50" s="70">
        <v>315</v>
      </c>
      <c r="DE50" s="70">
        <v>336</v>
      </c>
      <c r="DF50" s="70">
        <v>350</v>
      </c>
      <c r="DG50" s="70">
        <v>377</v>
      </c>
      <c r="DH50" s="70">
        <v>368</v>
      </c>
      <c r="DI50" s="70">
        <v>371</v>
      </c>
      <c r="DJ50" s="70">
        <v>343</v>
      </c>
      <c r="DK50" s="70">
        <v>386</v>
      </c>
      <c r="DL50" s="46">
        <v>307</v>
      </c>
      <c r="DM50" s="46">
        <v>344</v>
      </c>
      <c r="DN50" s="46">
        <v>311</v>
      </c>
      <c r="DO50" s="46">
        <v>285</v>
      </c>
      <c r="DP50" s="46">
        <v>284</v>
      </c>
      <c r="DQ50" s="46">
        <v>309</v>
      </c>
      <c r="DR50" s="46">
        <v>310</v>
      </c>
      <c r="DS50" s="46">
        <v>311</v>
      </c>
      <c r="DT50" s="46">
        <v>349</v>
      </c>
      <c r="DU50" s="46">
        <v>304</v>
      </c>
      <c r="DV50" s="46">
        <v>331</v>
      </c>
      <c r="DW50" s="46">
        <v>297</v>
      </c>
      <c r="DX50" s="46">
        <v>352</v>
      </c>
      <c r="DY50" s="46">
        <v>391</v>
      </c>
      <c r="DZ50" s="46">
        <v>378</v>
      </c>
      <c r="EA50" s="46">
        <v>374</v>
      </c>
      <c r="EB50" s="46">
        <v>356</v>
      </c>
      <c r="EC50" s="46">
        <v>356</v>
      </c>
      <c r="ED50" s="46">
        <v>404</v>
      </c>
      <c r="EE50" s="46">
        <v>454</v>
      </c>
      <c r="EF50" s="46">
        <v>456</v>
      </c>
      <c r="EG50" s="46">
        <v>403</v>
      </c>
      <c r="EH50" s="46">
        <v>367</v>
      </c>
      <c r="EI50" s="46">
        <v>380</v>
      </c>
      <c r="EJ50" s="46">
        <v>70</v>
      </c>
      <c r="EK50" s="46">
        <v>69</v>
      </c>
      <c r="EL50" s="46">
        <v>72</v>
      </c>
      <c r="EM50" s="46">
        <v>81</v>
      </c>
      <c r="EN50" s="46">
        <v>72</v>
      </c>
      <c r="EO50" s="46">
        <v>81</v>
      </c>
      <c r="EP50" s="46">
        <v>365</v>
      </c>
      <c r="EQ50" s="46">
        <v>392</v>
      </c>
      <c r="ER50" s="46">
        <v>482</v>
      </c>
      <c r="ES50" s="46">
        <v>341</v>
      </c>
      <c r="ET50" s="46">
        <v>1150</v>
      </c>
      <c r="EU50" s="46">
        <v>211</v>
      </c>
      <c r="EV50" s="46">
        <v>234</v>
      </c>
      <c r="EW50" s="46">
        <v>1239</v>
      </c>
      <c r="EX50" s="71">
        <v>879.17441323941046</v>
      </c>
      <c r="EY50" s="71">
        <v>873.17459780368506</v>
      </c>
      <c r="EZ50" s="71">
        <v>867.17478236795955</v>
      </c>
      <c r="FA50" s="71">
        <v>861.17496693223416</v>
      </c>
      <c r="FB50" s="71">
        <v>855.17515149650853</v>
      </c>
      <c r="FC50" s="71">
        <v>849.17533606078314</v>
      </c>
      <c r="FD50" s="71">
        <v>843.17552062505752</v>
      </c>
      <c r="FE50" s="71">
        <v>837.17570518933201</v>
      </c>
      <c r="FF50" s="72">
        <v>255483</v>
      </c>
      <c r="FG50" s="72">
        <v>260068</v>
      </c>
      <c r="FH50" s="476">
        <v>264008</v>
      </c>
      <c r="FI50" s="476">
        <v>265994.96600000001</v>
      </c>
      <c r="FJ50" s="476">
        <v>269006.65700000001</v>
      </c>
      <c r="FK50" s="476">
        <v>272233.27600000001</v>
      </c>
    </row>
    <row r="51" spans="1:167">
      <c r="A51" s="73" t="s">
        <v>899</v>
      </c>
      <c r="B51" s="19" t="s">
        <v>900</v>
      </c>
      <c r="C51" s="74" t="s">
        <v>696</v>
      </c>
      <c r="D51" s="75" t="s">
        <v>195</v>
      </c>
      <c r="E51" s="76">
        <v>115</v>
      </c>
      <c r="F51" s="77">
        <v>60</v>
      </c>
      <c r="G51" s="410">
        <v>65</v>
      </c>
      <c r="H51" s="78">
        <v>17425</v>
      </c>
      <c r="I51" s="77">
        <v>17850</v>
      </c>
      <c r="J51" s="410">
        <v>18323</v>
      </c>
      <c r="K51" s="410">
        <v>18463.608999999997</v>
      </c>
      <c r="L51" s="418">
        <v>18793.306</v>
      </c>
      <c r="M51" s="79">
        <v>665.7</v>
      </c>
      <c r="N51" s="80">
        <v>347.4</v>
      </c>
      <c r="O51" s="421">
        <v>369.8</v>
      </c>
      <c r="P51" s="71">
        <v>69</v>
      </c>
      <c r="Q51" s="75" t="s">
        <v>195</v>
      </c>
      <c r="R51" s="81">
        <v>200</v>
      </c>
      <c r="S51" s="77">
        <v>235</v>
      </c>
      <c r="T51" s="452">
        <v>225</v>
      </c>
      <c r="U51" s="77">
        <v>220</v>
      </c>
      <c r="V51" s="77">
        <v>260</v>
      </c>
      <c r="W51" s="452">
        <v>250</v>
      </c>
      <c r="X51" s="82">
        <v>90.5</v>
      </c>
      <c r="Y51" s="83">
        <v>90.8</v>
      </c>
      <c r="Z51" s="443">
        <v>90.4</v>
      </c>
      <c r="AA51" s="63">
        <v>238</v>
      </c>
      <c r="AB51" s="63">
        <v>261</v>
      </c>
      <c r="AC51" s="19" t="s">
        <v>195</v>
      </c>
      <c r="AD51" s="84">
        <v>232</v>
      </c>
      <c r="AE51" s="85">
        <v>343</v>
      </c>
      <c r="AF51" s="85">
        <v>401</v>
      </c>
      <c r="AG51" s="85">
        <v>409</v>
      </c>
      <c r="AH51" s="85">
        <v>238</v>
      </c>
      <c r="AI51" s="85">
        <v>248</v>
      </c>
      <c r="AJ51" s="85">
        <v>216</v>
      </c>
      <c r="AK51" s="85">
        <v>227</v>
      </c>
      <c r="AL51" s="85">
        <v>148</v>
      </c>
      <c r="AM51" s="85">
        <v>273</v>
      </c>
      <c r="AN51" s="85">
        <v>229</v>
      </c>
      <c r="AO51" s="85">
        <v>231</v>
      </c>
      <c r="AP51" s="85">
        <v>241</v>
      </c>
      <c r="AQ51" s="85">
        <v>298</v>
      </c>
      <c r="AR51" s="85">
        <v>349</v>
      </c>
      <c r="AS51" s="85">
        <v>272</v>
      </c>
      <c r="AT51" s="85">
        <v>329</v>
      </c>
      <c r="AU51" s="85">
        <v>300</v>
      </c>
      <c r="AV51" s="85">
        <v>249</v>
      </c>
      <c r="AW51" s="85">
        <v>342</v>
      </c>
      <c r="AX51" s="86">
        <v>229</v>
      </c>
      <c r="AY51" s="86">
        <v>234</v>
      </c>
      <c r="AZ51" s="86">
        <v>159</v>
      </c>
      <c r="BA51" s="86">
        <v>129</v>
      </c>
      <c r="BB51" s="86">
        <v>165</v>
      </c>
      <c r="BC51" s="86">
        <v>202</v>
      </c>
      <c r="BD51" s="86">
        <v>394</v>
      </c>
      <c r="BE51" s="86">
        <v>649</v>
      </c>
      <c r="BF51" s="86">
        <v>559</v>
      </c>
      <c r="BG51" s="86">
        <v>552</v>
      </c>
      <c r="BH51" s="86">
        <v>419</v>
      </c>
      <c r="BI51" s="86">
        <v>562</v>
      </c>
      <c r="BJ51" s="86">
        <v>928</v>
      </c>
      <c r="BK51" s="86">
        <v>819</v>
      </c>
      <c r="BL51" s="86">
        <v>929</v>
      </c>
      <c r="BM51" s="86">
        <v>1022</v>
      </c>
      <c r="BN51" s="86">
        <v>908</v>
      </c>
      <c r="BO51" s="86">
        <v>679</v>
      </c>
      <c r="BP51" s="86">
        <v>557</v>
      </c>
      <c r="BQ51" s="86">
        <v>443</v>
      </c>
      <c r="BR51" s="85">
        <v>444</v>
      </c>
      <c r="BS51" s="85">
        <v>448</v>
      </c>
      <c r="BT51" s="85">
        <v>339</v>
      </c>
      <c r="BU51" s="85">
        <v>416</v>
      </c>
      <c r="BV51" s="67">
        <v>2676</v>
      </c>
      <c r="BW51" s="67">
        <v>2609</v>
      </c>
      <c r="BX51" s="67">
        <v>1444</v>
      </c>
      <c r="BY51" s="67">
        <v>1203</v>
      </c>
      <c r="BZ51" s="68">
        <v>1947.5272727272729</v>
      </c>
      <c r="CA51" s="68">
        <v>2041.5636363636363</v>
      </c>
      <c r="CB51" s="68">
        <v>2135.6</v>
      </c>
      <c r="CC51" s="68">
        <v>2229.636363636364</v>
      </c>
      <c r="CD51" s="68">
        <v>2323.6727272727271</v>
      </c>
      <c r="CE51" s="68">
        <v>2417.7090909090907</v>
      </c>
      <c r="CF51" s="68">
        <v>2511.7454545454548</v>
      </c>
      <c r="CG51" s="68">
        <v>2605.7818181818184</v>
      </c>
      <c r="CH51" s="87">
        <v>194300</v>
      </c>
      <c r="CI51" s="467">
        <v>198401</v>
      </c>
      <c r="CJ51" s="467">
        <v>200432.28000000003</v>
      </c>
      <c r="CK51" s="467">
        <v>203368.24799999996</v>
      </c>
      <c r="CL51" s="468">
        <v>206360.74400000015</v>
      </c>
      <c r="CM51" s="19" t="s">
        <v>195</v>
      </c>
      <c r="CN51" s="70">
        <v>67</v>
      </c>
      <c r="CO51" s="70">
        <v>62</v>
      </c>
      <c r="CP51" s="70">
        <v>60</v>
      </c>
      <c r="CQ51" s="70">
        <v>72</v>
      </c>
      <c r="CR51" s="70">
        <v>51</v>
      </c>
      <c r="CS51" s="70">
        <v>63</v>
      </c>
      <c r="CT51" s="70">
        <v>59</v>
      </c>
      <c r="CU51" s="70">
        <v>63</v>
      </c>
      <c r="CV51" s="70">
        <v>59</v>
      </c>
      <c r="CW51" s="70">
        <v>76</v>
      </c>
      <c r="CX51" s="70">
        <v>55</v>
      </c>
      <c r="CY51" s="70">
        <v>66</v>
      </c>
      <c r="CZ51" s="70">
        <v>73</v>
      </c>
      <c r="DA51" s="70">
        <v>63</v>
      </c>
      <c r="DB51" s="70">
        <v>62</v>
      </c>
      <c r="DC51" s="70">
        <v>72</v>
      </c>
      <c r="DD51" s="70">
        <v>64</v>
      </c>
      <c r="DE51" s="70">
        <v>57</v>
      </c>
      <c r="DF51" s="70">
        <v>72</v>
      </c>
      <c r="DG51" s="70">
        <v>87</v>
      </c>
      <c r="DH51" s="70">
        <v>89</v>
      </c>
      <c r="DI51" s="70">
        <v>73</v>
      </c>
      <c r="DJ51" s="70">
        <v>62</v>
      </c>
      <c r="DK51" s="70">
        <v>62</v>
      </c>
      <c r="DL51" s="46">
        <v>73</v>
      </c>
      <c r="DM51" s="46">
        <v>73</v>
      </c>
      <c r="DN51" s="46">
        <v>78</v>
      </c>
      <c r="DO51" s="46">
        <v>49</v>
      </c>
      <c r="DP51" s="46">
        <v>68</v>
      </c>
      <c r="DQ51" s="46">
        <v>75</v>
      </c>
      <c r="DR51" s="46">
        <v>82</v>
      </c>
      <c r="DS51" s="46">
        <v>78</v>
      </c>
      <c r="DT51" s="46">
        <v>91</v>
      </c>
      <c r="DU51" s="46">
        <v>93</v>
      </c>
      <c r="DV51" s="46">
        <v>72</v>
      </c>
      <c r="DW51" s="46">
        <v>78</v>
      </c>
      <c r="DX51" s="46">
        <v>85</v>
      </c>
      <c r="DY51" s="46">
        <v>91</v>
      </c>
      <c r="DZ51" s="46">
        <v>90</v>
      </c>
      <c r="EA51" s="46">
        <v>87</v>
      </c>
      <c r="EB51" s="46">
        <v>90</v>
      </c>
      <c r="EC51" s="46">
        <v>79</v>
      </c>
      <c r="ED51" s="46">
        <v>82</v>
      </c>
      <c r="EE51" s="46">
        <v>85</v>
      </c>
      <c r="EF51" s="46">
        <v>98</v>
      </c>
      <c r="EG51" s="46">
        <v>85</v>
      </c>
      <c r="EH51" s="46">
        <v>91</v>
      </c>
      <c r="EI51" s="46">
        <v>80</v>
      </c>
      <c r="EJ51" s="46">
        <v>60</v>
      </c>
      <c r="EK51" s="46">
        <v>73</v>
      </c>
      <c r="EL51" s="46">
        <v>75</v>
      </c>
      <c r="EM51" s="46">
        <v>94</v>
      </c>
      <c r="EN51" s="46">
        <v>48</v>
      </c>
      <c r="EO51" s="46">
        <v>61</v>
      </c>
      <c r="EP51" s="46">
        <v>69</v>
      </c>
      <c r="EQ51" s="46">
        <v>50</v>
      </c>
      <c r="ER51" s="46">
        <v>79</v>
      </c>
      <c r="ES51" s="46">
        <v>53</v>
      </c>
      <c r="ET51" s="46">
        <v>256</v>
      </c>
      <c r="EU51" s="46">
        <v>208</v>
      </c>
      <c r="EV51" s="46">
        <v>203</v>
      </c>
      <c r="EW51" s="46">
        <v>198</v>
      </c>
      <c r="EX51" s="71">
        <v>241.28567473622689</v>
      </c>
      <c r="EY51" s="71">
        <v>243.48605001691837</v>
      </c>
      <c r="EZ51" s="71">
        <v>245.6864252976099</v>
      </c>
      <c r="FA51" s="71">
        <v>247.88680057830135</v>
      </c>
      <c r="FB51" s="71">
        <v>250.08717585899288</v>
      </c>
      <c r="FC51" s="71">
        <v>252.28755113968435</v>
      </c>
      <c r="FD51" s="71">
        <v>254.48792642037586</v>
      </c>
      <c r="FE51" s="71">
        <v>256.68830170106742</v>
      </c>
      <c r="FF51" s="72">
        <v>247182</v>
      </c>
      <c r="FG51" s="72">
        <v>252119</v>
      </c>
      <c r="FH51" s="476">
        <v>257379</v>
      </c>
      <c r="FI51" s="476">
        <v>259293.70499999999</v>
      </c>
      <c r="FJ51" s="476">
        <v>262802.26699999999</v>
      </c>
      <c r="FK51" s="476">
        <v>266428.022</v>
      </c>
    </row>
    <row r="52" spans="1:167">
      <c r="A52" s="73" t="s">
        <v>948</v>
      </c>
      <c r="B52" s="19" t="s">
        <v>949</v>
      </c>
      <c r="C52" s="74" t="s">
        <v>697</v>
      </c>
      <c r="D52" s="75" t="s">
        <v>198</v>
      </c>
      <c r="E52" s="76">
        <v>140</v>
      </c>
      <c r="F52" s="77">
        <v>80</v>
      </c>
      <c r="G52" s="410">
        <v>125</v>
      </c>
      <c r="H52" s="78">
        <v>18650</v>
      </c>
      <c r="I52" s="77">
        <v>19605</v>
      </c>
      <c r="J52" s="410">
        <v>20306</v>
      </c>
      <c r="K52" s="410">
        <v>21048.040000000005</v>
      </c>
      <c r="L52" s="418">
        <v>21730.182000000001</v>
      </c>
      <c r="M52" s="79">
        <v>740</v>
      </c>
      <c r="N52" s="80">
        <v>418.3</v>
      </c>
      <c r="O52" s="421">
        <v>637.70000000000005</v>
      </c>
      <c r="P52" s="71" t="s">
        <v>930</v>
      </c>
      <c r="Q52" s="75" t="s">
        <v>198</v>
      </c>
      <c r="R52" s="81">
        <v>80</v>
      </c>
      <c r="S52" s="77">
        <v>70</v>
      </c>
      <c r="T52" s="452">
        <v>65</v>
      </c>
      <c r="U52" s="77">
        <v>110</v>
      </c>
      <c r="V52" s="77">
        <v>95</v>
      </c>
      <c r="W52" s="452">
        <v>100</v>
      </c>
      <c r="X52" s="82">
        <v>74.099999999999994</v>
      </c>
      <c r="Y52" s="83">
        <v>72.599999999999994</v>
      </c>
      <c r="Z52" s="443">
        <v>63.6</v>
      </c>
      <c r="AA52" s="63" t="s">
        <v>930</v>
      </c>
      <c r="AB52" s="63" t="s">
        <v>930</v>
      </c>
      <c r="AC52" s="19" t="s">
        <v>198</v>
      </c>
      <c r="AD52" s="84">
        <v>171</v>
      </c>
      <c r="AE52" s="85">
        <v>323</v>
      </c>
      <c r="AF52" s="85">
        <v>248</v>
      </c>
      <c r="AG52" s="85">
        <v>198</v>
      </c>
      <c r="AH52" s="85">
        <v>217</v>
      </c>
      <c r="AI52" s="85">
        <v>165</v>
      </c>
      <c r="AJ52" s="85">
        <v>135</v>
      </c>
      <c r="AK52" s="85">
        <v>252</v>
      </c>
      <c r="AL52" s="85">
        <v>123</v>
      </c>
      <c r="AM52" s="85">
        <v>125</v>
      </c>
      <c r="AN52" s="85">
        <v>162</v>
      </c>
      <c r="AO52" s="85">
        <v>196</v>
      </c>
      <c r="AP52" s="85">
        <v>255</v>
      </c>
      <c r="AQ52" s="85">
        <v>206</v>
      </c>
      <c r="AR52" s="85">
        <v>277</v>
      </c>
      <c r="AS52" s="85">
        <v>278</v>
      </c>
      <c r="AT52" s="85">
        <v>184</v>
      </c>
      <c r="AU52" s="85">
        <v>119</v>
      </c>
      <c r="AV52" s="85">
        <v>150</v>
      </c>
      <c r="AW52" s="85">
        <v>206</v>
      </c>
      <c r="AX52" s="86">
        <v>174</v>
      </c>
      <c r="AY52" s="86">
        <v>180</v>
      </c>
      <c r="AZ52" s="86">
        <v>223</v>
      </c>
      <c r="BA52" s="86">
        <v>181</v>
      </c>
      <c r="BB52" s="86">
        <v>109</v>
      </c>
      <c r="BC52" s="86">
        <v>98</v>
      </c>
      <c r="BD52" s="86">
        <v>122</v>
      </c>
      <c r="BE52" s="86">
        <v>94</v>
      </c>
      <c r="BF52" s="86">
        <v>119</v>
      </c>
      <c r="BG52" s="86">
        <v>142</v>
      </c>
      <c r="BH52" s="86">
        <v>71</v>
      </c>
      <c r="BI52" s="86">
        <v>132</v>
      </c>
      <c r="BJ52" s="86">
        <v>168</v>
      </c>
      <c r="BK52" s="86">
        <v>148</v>
      </c>
      <c r="BL52" s="86">
        <v>98</v>
      </c>
      <c r="BM52" s="86">
        <v>141</v>
      </c>
      <c r="BN52" s="86">
        <v>188</v>
      </c>
      <c r="BO52" s="86">
        <v>201</v>
      </c>
      <c r="BP52" s="86">
        <v>224</v>
      </c>
      <c r="BQ52" s="86">
        <v>157</v>
      </c>
      <c r="BR52" s="85">
        <v>175</v>
      </c>
      <c r="BS52" s="85">
        <v>280</v>
      </c>
      <c r="BT52" s="85">
        <v>245</v>
      </c>
      <c r="BU52" s="85">
        <v>268</v>
      </c>
      <c r="BV52" s="67">
        <v>414</v>
      </c>
      <c r="BW52" s="67">
        <v>530</v>
      </c>
      <c r="BX52" s="67">
        <v>556</v>
      </c>
      <c r="BY52" s="67">
        <v>793</v>
      </c>
      <c r="BZ52" s="68">
        <v>490.04778012685</v>
      </c>
      <c r="CA52" s="68">
        <v>483.601268498943</v>
      </c>
      <c r="CB52" s="68">
        <v>477.15475687103606</v>
      </c>
      <c r="CC52" s="68">
        <v>470.708245243129</v>
      </c>
      <c r="CD52" s="68">
        <v>464.26173361522206</v>
      </c>
      <c r="CE52" s="68">
        <v>457.81522198731511</v>
      </c>
      <c r="CF52" s="68">
        <v>451.36871035940806</v>
      </c>
      <c r="CG52" s="68">
        <v>444.92219873150111</v>
      </c>
      <c r="CH52" s="87">
        <v>97700</v>
      </c>
      <c r="CI52" s="467">
        <v>97818</v>
      </c>
      <c r="CJ52" s="467">
        <v>98124.283000000025</v>
      </c>
      <c r="CK52" s="467">
        <v>98391.087000000058</v>
      </c>
      <c r="CL52" s="468">
        <v>98683.068999999974</v>
      </c>
      <c r="CM52" s="19" t="s">
        <v>198</v>
      </c>
      <c r="CN52" s="70">
        <v>295</v>
      </c>
      <c r="CO52" s="70">
        <v>266</v>
      </c>
      <c r="CP52" s="70">
        <v>276</v>
      </c>
      <c r="CQ52" s="70">
        <v>286</v>
      </c>
      <c r="CR52" s="70">
        <v>232</v>
      </c>
      <c r="CS52" s="70">
        <v>249</v>
      </c>
      <c r="CT52" s="70">
        <v>306</v>
      </c>
      <c r="CU52" s="70">
        <v>299</v>
      </c>
      <c r="CV52" s="70">
        <v>329</v>
      </c>
      <c r="CW52" s="70">
        <v>295</v>
      </c>
      <c r="CX52" s="70">
        <v>297</v>
      </c>
      <c r="CY52" s="70">
        <v>297</v>
      </c>
      <c r="CZ52" s="70">
        <v>318</v>
      </c>
      <c r="DA52" s="70">
        <v>302</v>
      </c>
      <c r="DB52" s="70">
        <v>305</v>
      </c>
      <c r="DC52" s="70">
        <v>268</v>
      </c>
      <c r="DD52" s="70">
        <v>264</v>
      </c>
      <c r="DE52" s="70">
        <v>274</v>
      </c>
      <c r="DF52" s="70">
        <v>343</v>
      </c>
      <c r="DG52" s="70">
        <v>300</v>
      </c>
      <c r="DH52" s="70">
        <v>389</v>
      </c>
      <c r="DI52" s="70">
        <v>358</v>
      </c>
      <c r="DJ52" s="70">
        <v>276</v>
      </c>
      <c r="DK52" s="70">
        <v>320</v>
      </c>
      <c r="DL52" s="46">
        <v>273</v>
      </c>
      <c r="DM52" s="46">
        <v>265</v>
      </c>
      <c r="DN52" s="46">
        <v>277</v>
      </c>
      <c r="DO52" s="46">
        <v>248</v>
      </c>
      <c r="DP52" s="46">
        <v>277</v>
      </c>
      <c r="DQ52" s="46">
        <v>239</v>
      </c>
      <c r="DR52" s="46">
        <v>315</v>
      </c>
      <c r="DS52" s="46">
        <v>308</v>
      </c>
      <c r="DT52" s="46">
        <v>336</v>
      </c>
      <c r="DU52" s="46">
        <v>339</v>
      </c>
      <c r="DV52" s="46">
        <v>296</v>
      </c>
      <c r="DW52" s="46">
        <v>297</v>
      </c>
      <c r="DX52" s="46">
        <v>309</v>
      </c>
      <c r="DY52" s="46">
        <v>310</v>
      </c>
      <c r="DZ52" s="46">
        <v>286</v>
      </c>
      <c r="EA52" s="46">
        <v>305</v>
      </c>
      <c r="EB52" s="46">
        <v>290</v>
      </c>
      <c r="EC52" s="46">
        <v>274</v>
      </c>
      <c r="ED52" s="46">
        <v>292</v>
      </c>
      <c r="EE52" s="46">
        <v>322</v>
      </c>
      <c r="EF52" s="46">
        <v>348</v>
      </c>
      <c r="EG52" s="46">
        <v>348</v>
      </c>
      <c r="EH52" s="46">
        <v>340</v>
      </c>
      <c r="EI52" s="46">
        <v>342</v>
      </c>
      <c r="EJ52" s="46">
        <v>344</v>
      </c>
      <c r="EK52" s="46">
        <v>277</v>
      </c>
      <c r="EL52" s="46">
        <v>287</v>
      </c>
      <c r="EM52" s="46">
        <v>312</v>
      </c>
      <c r="EN52" s="46">
        <v>245</v>
      </c>
      <c r="EO52" s="46">
        <v>261</v>
      </c>
      <c r="EP52" s="46">
        <v>284</v>
      </c>
      <c r="EQ52" s="46">
        <v>294</v>
      </c>
      <c r="ER52" s="46">
        <v>355</v>
      </c>
      <c r="ES52" s="46">
        <v>293</v>
      </c>
      <c r="ET52" s="46">
        <v>1030</v>
      </c>
      <c r="EU52" s="46">
        <v>908</v>
      </c>
      <c r="EV52" s="46">
        <v>818</v>
      </c>
      <c r="EW52" s="46">
        <v>933</v>
      </c>
      <c r="EX52" s="71">
        <v>932.53277553908151</v>
      </c>
      <c r="EY52" s="71">
        <v>935.86046940847143</v>
      </c>
      <c r="EZ52" s="71">
        <v>939.18816327786158</v>
      </c>
      <c r="FA52" s="71">
        <v>942.51585714725161</v>
      </c>
      <c r="FB52" s="71">
        <v>945.84355101664153</v>
      </c>
      <c r="FC52" s="71">
        <v>949.17124488603167</v>
      </c>
      <c r="FD52" s="71">
        <v>952.49893875542148</v>
      </c>
      <c r="FE52" s="71">
        <v>955.82663262481162</v>
      </c>
      <c r="FF52" s="72">
        <v>125722</v>
      </c>
      <c r="FG52" s="72">
        <v>125692</v>
      </c>
      <c r="FH52" s="476">
        <v>125970</v>
      </c>
      <c r="FI52" s="476">
        <v>126098.436</v>
      </c>
      <c r="FJ52" s="476">
        <v>126380.03</v>
      </c>
      <c r="FK52" s="476">
        <v>126657.91800000001</v>
      </c>
    </row>
    <row r="53" spans="1:167">
      <c r="A53" s="73" t="s">
        <v>922</v>
      </c>
      <c r="B53" s="19" t="s">
        <v>923</v>
      </c>
      <c r="C53" s="74" t="s">
        <v>698</v>
      </c>
      <c r="D53" s="75" t="s">
        <v>202</v>
      </c>
      <c r="E53" s="76">
        <v>110</v>
      </c>
      <c r="F53" s="77">
        <v>115</v>
      </c>
      <c r="G53" s="410">
        <v>140</v>
      </c>
      <c r="H53" s="78">
        <v>16525</v>
      </c>
      <c r="I53" s="77">
        <v>16985</v>
      </c>
      <c r="J53" s="410">
        <v>17497</v>
      </c>
      <c r="K53" s="410">
        <v>17669.178</v>
      </c>
      <c r="L53" s="418">
        <v>17923.346000000001</v>
      </c>
      <c r="M53" s="79">
        <v>671.8</v>
      </c>
      <c r="N53" s="80">
        <v>665.2</v>
      </c>
      <c r="O53" s="421">
        <v>835.9</v>
      </c>
      <c r="P53" s="71">
        <v>109</v>
      </c>
      <c r="Q53" s="75" t="s">
        <v>202</v>
      </c>
      <c r="R53" s="81">
        <v>90</v>
      </c>
      <c r="S53" s="77">
        <v>140</v>
      </c>
      <c r="T53" s="452">
        <v>260</v>
      </c>
      <c r="U53" s="77">
        <v>90</v>
      </c>
      <c r="V53" s="77">
        <v>160</v>
      </c>
      <c r="W53" s="452">
        <v>280</v>
      </c>
      <c r="X53" s="82">
        <v>100</v>
      </c>
      <c r="Y53" s="83">
        <v>88.6</v>
      </c>
      <c r="Z53" s="443">
        <v>92.9</v>
      </c>
      <c r="AA53" s="63">
        <v>141</v>
      </c>
      <c r="AB53" s="63">
        <v>158</v>
      </c>
      <c r="AC53" s="19" t="s">
        <v>202</v>
      </c>
      <c r="AD53" s="84">
        <v>190</v>
      </c>
      <c r="AE53" s="85">
        <v>250</v>
      </c>
      <c r="AF53" s="85">
        <v>224</v>
      </c>
      <c r="AG53" s="85">
        <v>328</v>
      </c>
      <c r="AH53" s="85">
        <v>281</v>
      </c>
      <c r="AI53" s="85">
        <v>263</v>
      </c>
      <c r="AJ53" s="85">
        <v>224</v>
      </c>
      <c r="AK53" s="85">
        <v>195</v>
      </c>
      <c r="AL53" s="85">
        <v>245</v>
      </c>
      <c r="AM53" s="85">
        <v>355</v>
      </c>
      <c r="AN53" s="85">
        <v>315</v>
      </c>
      <c r="AO53" s="85">
        <v>335</v>
      </c>
      <c r="AP53" s="85">
        <v>249</v>
      </c>
      <c r="AQ53" s="85">
        <v>348</v>
      </c>
      <c r="AR53" s="85">
        <v>319</v>
      </c>
      <c r="AS53" s="85">
        <v>291</v>
      </c>
      <c r="AT53" s="85">
        <v>330</v>
      </c>
      <c r="AU53" s="85">
        <v>320</v>
      </c>
      <c r="AV53" s="85">
        <v>237</v>
      </c>
      <c r="AW53" s="85">
        <v>298</v>
      </c>
      <c r="AX53" s="86">
        <v>404</v>
      </c>
      <c r="AY53" s="86">
        <v>430</v>
      </c>
      <c r="AZ53" s="86">
        <v>370</v>
      </c>
      <c r="BA53" s="86">
        <v>380</v>
      </c>
      <c r="BB53" s="86">
        <v>511</v>
      </c>
      <c r="BC53" s="86">
        <v>531</v>
      </c>
      <c r="BD53" s="86">
        <v>414</v>
      </c>
      <c r="BE53" s="86">
        <v>334</v>
      </c>
      <c r="BF53" s="86">
        <v>277</v>
      </c>
      <c r="BG53" s="86">
        <v>284</v>
      </c>
      <c r="BH53" s="86">
        <v>205</v>
      </c>
      <c r="BI53" s="86">
        <v>375</v>
      </c>
      <c r="BJ53" s="86">
        <v>364</v>
      </c>
      <c r="BK53" s="86">
        <v>298</v>
      </c>
      <c r="BL53" s="86">
        <v>358</v>
      </c>
      <c r="BM53" s="86">
        <v>183</v>
      </c>
      <c r="BN53" s="86">
        <v>347</v>
      </c>
      <c r="BO53" s="86">
        <v>278</v>
      </c>
      <c r="BP53" s="86">
        <v>276</v>
      </c>
      <c r="BQ53" s="86">
        <v>349</v>
      </c>
      <c r="BR53" s="85">
        <v>281</v>
      </c>
      <c r="BS53" s="85">
        <v>178</v>
      </c>
      <c r="BT53" s="85">
        <v>215</v>
      </c>
      <c r="BU53" s="85">
        <v>192</v>
      </c>
      <c r="BV53" s="67">
        <v>1020</v>
      </c>
      <c r="BW53" s="67">
        <v>808</v>
      </c>
      <c r="BX53" s="67">
        <v>906</v>
      </c>
      <c r="BY53" s="67">
        <v>585</v>
      </c>
      <c r="BZ53" s="68">
        <v>944.39217758985183</v>
      </c>
      <c r="CA53" s="68">
        <v>948.04862579281166</v>
      </c>
      <c r="CB53" s="68">
        <v>951.7050739957715</v>
      </c>
      <c r="CC53" s="68">
        <v>955.36152219873134</v>
      </c>
      <c r="CD53" s="68">
        <v>959.01797040169117</v>
      </c>
      <c r="CE53" s="68">
        <v>962.67441860465101</v>
      </c>
      <c r="CF53" s="68">
        <v>966.33086680761085</v>
      </c>
      <c r="CG53" s="68">
        <v>969.98731501057068</v>
      </c>
      <c r="CH53" s="87">
        <v>147000</v>
      </c>
      <c r="CI53" s="467">
        <v>145357</v>
      </c>
      <c r="CJ53" s="467">
        <v>146350.57700000002</v>
      </c>
      <c r="CK53" s="467">
        <v>146342.20899999997</v>
      </c>
      <c r="CL53" s="468">
        <v>146615.97899999999</v>
      </c>
      <c r="CM53" s="19" t="s">
        <v>202</v>
      </c>
      <c r="CN53" s="70">
        <v>231</v>
      </c>
      <c r="CO53" s="70">
        <v>242</v>
      </c>
      <c r="CP53" s="70">
        <v>233</v>
      </c>
      <c r="CQ53" s="70">
        <v>195</v>
      </c>
      <c r="CR53" s="70">
        <v>192</v>
      </c>
      <c r="CS53" s="70">
        <v>237</v>
      </c>
      <c r="CT53" s="70">
        <v>249</v>
      </c>
      <c r="CU53" s="70">
        <v>268</v>
      </c>
      <c r="CV53" s="70">
        <v>275</v>
      </c>
      <c r="CW53" s="70">
        <v>296</v>
      </c>
      <c r="CX53" s="70">
        <v>233</v>
      </c>
      <c r="CY53" s="70">
        <v>236</v>
      </c>
      <c r="CZ53" s="70">
        <v>271</v>
      </c>
      <c r="DA53" s="70">
        <v>292</v>
      </c>
      <c r="DB53" s="70">
        <v>249</v>
      </c>
      <c r="DC53" s="70">
        <v>269</v>
      </c>
      <c r="DD53" s="70">
        <v>252</v>
      </c>
      <c r="DE53" s="70">
        <v>292</v>
      </c>
      <c r="DF53" s="70">
        <v>322</v>
      </c>
      <c r="DG53" s="70">
        <v>264</v>
      </c>
      <c r="DH53" s="70">
        <v>351</v>
      </c>
      <c r="DI53" s="70">
        <v>287</v>
      </c>
      <c r="DJ53" s="70">
        <v>245</v>
      </c>
      <c r="DK53" s="70">
        <v>302</v>
      </c>
      <c r="DL53" s="46">
        <v>238</v>
      </c>
      <c r="DM53" s="46">
        <v>232</v>
      </c>
      <c r="DN53" s="46">
        <v>252</v>
      </c>
      <c r="DO53" s="46">
        <v>261</v>
      </c>
      <c r="DP53" s="46">
        <v>240</v>
      </c>
      <c r="DQ53" s="46">
        <v>253</v>
      </c>
      <c r="DR53" s="46">
        <v>309</v>
      </c>
      <c r="DS53" s="46">
        <v>268</v>
      </c>
      <c r="DT53" s="46">
        <v>334</v>
      </c>
      <c r="DU53" s="46">
        <v>306</v>
      </c>
      <c r="DV53" s="46">
        <v>303</v>
      </c>
      <c r="DW53" s="46">
        <v>272</v>
      </c>
      <c r="DX53" s="46">
        <v>264</v>
      </c>
      <c r="DY53" s="46">
        <v>311</v>
      </c>
      <c r="DZ53" s="46">
        <v>274</v>
      </c>
      <c r="EA53" s="46">
        <v>300</v>
      </c>
      <c r="EB53" s="46">
        <v>282</v>
      </c>
      <c r="EC53" s="46">
        <v>275</v>
      </c>
      <c r="ED53" s="46">
        <v>303</v>
      </c>
      <c r="EE53" s="46">
        <v>321</v>
      </c>
      <c r="EF53" s="46">
        <v>338</v>
      </c>
      <c r="EG53" s="46">
        <v>320</v>
      </c>
      <c r="EH53" s="46">
        <v>296</v>
      </c>
      <c r="EI53" s="46">
        <v>301</v>
      </c>
      <c r="EJ53" s="46">
        <v>293</v>
      </c>
      <c r="EK53" s="46">
        <v>330</v>
      </c>
      <c r="EL53" s="46">
        <v>275</v>
      </c>
      <c r="EM53" s="46">
        <v>279</v>
      </c>
      <c r="EN53" s="46">
        <v>301</v>
      </c>
      <c r="EO53" s="46">
        <v>279</v>
      </c>
      <c r="EP53" s="46">
        <v>305</v>
      </c>
      <c r="EQ53" s="46">
        <v>242</v>
      </c>
      <c r="ER53" s="46">
        <v>304</v>
      </c>
      <c r="ES53" s="46">
        <v>260</v>
      </c>
      <c r="ET53" s="46">
        <v>917</v>
      </c>
      <c r="EU53" s="46">
        <v>898</v>
      </c>
      <c r="EV53" s="46">
        <v>859</v>
      </c>
      <c r="EW53" s="46">
        <v>851</v>
      </c>
      <c r="EX53" s="71">
        <v>929.30899135623963</v>
      </c>
      <c r="EY53" s="71">
        <v>938.67968870159018</v>
      </c>
      <c r="EZ53" s="71">
        <v>948.05038604694084</v>
      </c>
      <c r="FA53" s="71">
        <v>957.42108339229139</v>
      </c>
      <c r="FB53" s="71">
        <v>966.79178073764183</v>
      </c>
      <c r="FC53" s="71">
        <v>976.16247808299227</v>
      </c>
      <c r="FD53" s="71">
        <v>985.53317542834282</v>
      </c>
      <c r="FE53" s="71">
        <v>994.90387277369337</v>
      </c>
      <c r="FF53" s="72">
        <v>182445</v>
      </c>
      <c r="FG53" s="72">
        <v>179850</v>
      </c>
      <c r="FH53" s="476">
        <v>178685</v>
      </c>
      <c r="FI53" s="476">
        <v>179806.723</v>
      </c>
      <c r="FJ53" s="476">
        <v>180048.592</v>
      </c>
      <c r="FK53" s="476">
        <v>180646.516</v>
      </c>
    </row>
    <row r="54" spans="1:167">
      <c r="A54" s="73" t="s">
        <v>915</v>
      </c>
      <c r="B54" s="19" t="s">
        <v>916</v>
      </c>
      <c r="C54" s="74" t="s">
        <v>699</v>
      </c>
      <c r="D54" s="75" t="s">
        <v>205</v>
      </c>
      <c r="E54" s="76">
        <v>1540</v>
      </c>
      <c r="F54" s="77">
        <v>1670</v>
      </c>
      <c r="G54" s="410">
        <v>1590</v>
      </c>
      <c r="H54" s="78">
        <v>245970</v>
      </c>
      <c r="I54" s="77">
        <v>257370</v>
      </c>
      <c r="J54" s="410">
        <v>265944</v>
      </c>
      <c r="K54" s="410">
        <v>274480.88800000004</v>
      </c>
      <c r="L54" s="418">
        <v>281524.71199999994</v>
      </c>
      <c r="M54" s="79">
        <v>626.9</v>
      </c>
      <c r="N54" s="80">
        <v>649.29999999999995</v>
      </c>
      <c r="O54" s="421">
        <v>617.79999999999995</v>
      </c>
      <c r="P54" s="71">
        <v>1688</v>
      </c>
      <c r="Q54" s="75" t="s">
        <v>205</v>
      </c>
      <c r="R54" s="81">
        <v>855</v>
      </c>
      <c r="S54" s="77">
        <v>925</v>
      </c>
      <c r="T54" s="452">
        <v>695</v>
      </c>
      <c r="U54" s="77">
        <v>1035</v>
      </c>
      <c r="V54" s="77">
        <v>1135</v>
      </c>
      <c r="W54" s="452">
        <v>860</v>
      </c>
      <c r="X54" s="82">
        <v>82.5</v>
      </c>
      <c r="Y54" s="83">
        <v>81.3</v>
      </c>
      <c r="Z54" s="443">
        <v>80.599999999999994</v>
      </c>
      <c r="AA54" s="63">
        <v>700</v>
      </c>
      <c r="AB54" s="63">
        <v>840</v>
      </c>
      <c r="AC54" s="19" t="s">
        <v>205</v>
      </c>
      <c r="AD54" s="84">
        <v>2380</v>
      </c>
      <c r="AE54" s="85">
        <v>2934</v>
      </c>
      <c r="AF54" s="85">
        <v>2377</v>
      </c>
      <c r="AG54" s="85">
        <v>2871</v>
      </c>
      <c r="AH54" s="85">
        <v>2874</v>
      </c>
      <c r="AI54" s="85">
        <v>2671</v>
      </c>
      <c r="AJ54" s="85">
        <v>2620</v>
      </c>
      <c r="AK54" s="85">
        <v>2903</v>
      </c>
      <c r="AL54" s="85">
        <v>2828</v>
      </c>
      <c r="AM54" s="85">
        <v>2673</v>
      </c>
      <c r="AN54" s="85">
        <v>2061</v>
      </c>
      <c r="AO54" s="85">
        <v>2211</v>
      </c>
      <c r="AP54" s="85">
        <v>2326</v>
      </c>
      <c r="AQ54" s="85">
        <v>2399</v>
      </c>
      <c r="AR54" s="85">
        <v>2247</v>
      </c>
      <c r="AS54" s="85">
        <v>2031</v>
      </c>
      <c r="AT54" s="85">
        <v>2218</v>
      </c>
      <c r="AU54" s="85">
        <v>2009</v>
      </c>
      <c r="AV54" s="85">
        <v>2082</v>
      </c>
      <c r="AW54" s="85">
        <v>2124</v>
      </c>
      <c r="AX54" s="86">
        <v>2093</v>
      </c>
      <c r="AY54" s="86">
        <v>2955</v>
      </c>
      <c r="AZ54" s="86">
        <v>2468</v>
      </c>
      <c r="BA54" s="86">
        <v>2381</v>
      </c>
      <c r="BB54" s="86">
        <v>2039</v>
      </c>
      <c r="BC54" s="86">
        <v>2284</v>
      </c>
      <c r="BD54" s="86">
        <v>2569</v>
      </c>
      <c r="BE54" s="86">
        <v>2363</v>
      </c>
      <c r="BF54" s="86">
        <v>2007</v>
      </c>
      <c r="BG54" s="86">
        <v>2391</v>
      </c>
      <c r="BH54" s="86">
        <v>2268</v>
      </c>
      <c r="BI54" s="86">
        <v>1960</v>
      </c>
      <c r="BJ54" s="86">
        <v>2136</v>
      </c>
      <c r="BK54" s="86">
        <v>2153</v>
      </c>
      <c r="BL54" s="86">
        <v>2153</v>
      </c>
      <c r="BM54" s="86">
        <v>1896</v>
      </c>
      <c r="BN54" s="86">
        <v>2374</v>
      </c>
      <c r="BO54" s="86">
        <v>2217</v>
      </c>
      <c r="BP54" s="86">
        <v>2874</v>
      </c>
      <c r="BQ54" s="86">
        <v>2291</v>
      </c>
      <c r="BR54" s="85">
        <v>2384</v>
      </c>
      <c r="BS54" s="85">
        <v>3023</v>
      </c>
      <c r="BT54" s="85">
        <v>2837</v>
      </c>
      <c r="BU54" s="85">
        <v>2581</v>
      </c>
      <c r="BV54" s="67">
        <v>6442</v>
      </c>
      <c r="BW54" s="67">
        <v>6487</v>
      </c>
      <c r="BX54" s="67">
        <v>7549</v>
      </c>
      <c r="BY54" s="67">
        <v>8441</v>
      </c>
      <c r="BZ54" s="68">
        <v>6864.4801268498941</v>
      </c>
      <c r="CA54" s="68">
        <v>6822.2048625792813</v>
      </c>
      <c r="CB54" s="68">
        <v>6779.9295983086677</v>
      </c>
      <c r="CC54" s="68">
        <v>6737.654334038054</v>
      </c>
      <c r="CD54" s="68">
        <v>6695.3790697674413</v>
      </c>
      <c r="CE54" s="68">
        <v>6653.1038054968294</v>
      </c>
      <c r="CF54" s="68">
        <v>6610.8285412262157</v>
      </c>
      <c r="CG54" s="68">
        <v>6568.553276955603</v>
      </c>
      <c r="CH54" s="87">
        <v>1048700</v>
      </c>
      <c r="CI54" s="467">
        <v>1056193</v>
      </c>
      <c r="CJ54" s="467">
        <v>1063858.7670000002</v>
      </c>
      <c r="CK54" s="467">
        <v>1071788.0239999988</v>
      </c>
      <c r="CL54" s="468">
        <v>1079476.3440000017</v>
      </c>
      <c r="CM54" s="19" t="s">
        <v>205</v>
      </c>
      <c r="CN54" s="70">
        <v>1679</v>
      </c>
      <c r="CO54" s="70">
        <v>1669</v>
      </c>
      <c r="CP54" s="70">
        <v>1570</v>
      </c>
      <c r="CQ54" s="70">
        <v>1592</v>
      </c>
      <c r="CR54" s="70">
        <v>1545</v>
      </c>
      <c r="CS54" s="70">
        <v>1580</v>
      </c>
      <c r="CT54" s="70">
        <v>1782</v>
      </c>
      <c r="CU54" s="70">
        <v>1920</v>
      </c>
      <c r="CV54" s="70">
        <v>2119</v>
      </c>
      <c r="CW54" s="70">
        <v>1790</v>
      </c>
      <c r="CX54" s="70">
        <v>1825</v>
      </c>
      <c r="CY54" s="70">
        <v>1814</v>
      </c>
      <c r="CZ54" s="70">
        <v>1704</v>
      </c>
      <c r="DA54" s="70">
        <v>1724</v>
      </c>
      <c r="DB54" s="70">
        <v>1575</v>
      </c>
      <c r="DC54" s="70">
        <v>1570</v>
      </c>
      <c r="DD54" s="70">
        <v>1518</v>
      </c>
      <c r="DE54" s="70">
        <v>1552</v>
      </c>
      <c r="DF54" s="70">
        <v>1650</v>
      </c>
      <c r="DG54" s="70">
        <v>1729</v>
      </c>
      <c r="DH54" s="70">
        <v>2224</v>
      </c>
      <c r="DI54" s="70">
        <v>1999</v>
      </c>
      <c r="DJ54" s="70">
        <v>1779</v>
      </c>
      <c r="DK54" s="70">
        <v>1846</v>
      </c>
      <c r="DL54" s="46">
        <v>1759</v>
      </c>
      <c r="DM54" s="46">
        <v>1736</v>
      </c>
      <c r="DN54" s="46">
        <v>1607</v>
      </c>
      <c r="DO54" s="46">
        <v>1627</v>
      </c>
      <c r="DP54" s="46">
        <v>1644</v>
      </c>
      <c r="DQ54" s="46">
        <v>1526</v>
      </c>
      <c r="DR54" s="46">
        <v>1654</v>
      </c>
      <c r="DS54" s="46">
        <v>1837</v>
      </c>
      <c r="DT54" s="46">
        <v>2093</v>
      </c>
      <c r="DU54" s="46">
        <v>1848</v>
      </c>
      <c r="DV54" s="46">
        <v>1944</v>
      </c>
      <c r="DW54" s="46">
        <v>1865</v>
      </c>
      <c r="DX54" s="46">
        <v>1797</v>
      </c>
      <c r="DY54" s="46">
        <v>1822</v>
      </c>
      <c r="DZ54" s="46">
        <v>1580</v>
      </c>
      <c r="EA54" s="46">
        <v>1656</v>
      </c>
      <c r="EB54" s="46">
        <v>1485</v>
      </c>
      <c r="EC54" s="46">
        <v>1565</v>
      </c>
      <c r="ED54" s="46">
        <v>1814</v>
      </c>
      <c r="EE54" s="46">
        <v>2016</v>
      </c>
      <c r="EF54" s="46">
        <v>2219</v>
      </c>
      <c r="EG54" s="46">
        <v>1804</v>
      </c>
      <c r="EH54" s="46">
        <v>1663</v>
      </c>
      <c r="EI54" s="46">
        <v>1768</v>
      </c>
      <c r="EJ54" s="46">
        <v>1864</v>
      </c>
      <c r="EK54" s="46">
        <v>1757</v>
      </c>
      <c r="EL54" s="46">
        <v>1595</v>
      </c>
      <c r="EM54" s="46">
        <v>1679</v>
      </c>
      <c r="EN54" s="46">
        <v>1505</v>
      </c>
      <c r="EO54" s="46">
        <v>1653</v>
      </c>
      <c r="EP54" s="46">
        <v>1795</v>
      </c>
      <c r="EQ54" s="46">
        <v>1888</v>
      </c>
      <c r="ER54" s="46">
        <v>2084</v>
      </c>
      <c r="ES54" s="46">
        <v>1512</v>
      </c>
      <c r="ET54" s="46">
        <v>5235</v>
      </c>
      <c r="EU54" s="46">
        <v>5216</v>
      </c>
      <c r="EV54" s="46">
        <v>4837</v>
      </c>
      <c r="EW54" s="46">
        <v>5767</v>
      </c>
      <c r="EX54" s="71">
        <v>5353.6732597126947</v>
      </c>
      <c r="EY54" s="71">
        <v>5363.6441600787466</v>
      </c>
      <c r="EZ54" s="71">
        <v>5373.6150604447994</v>
      </c>
      <c r="FA54" s="71">
        <v>5383.5859608108522</v>
      </c>
      <c r="FB54" s="71">
        <v>5393.5568611769049</v>
      </c>
      <c r="FC54" s="71">
        <v>5403.5277615429568</v>
      </c>
      <c r="FD54" s="71">
        <v>5413.4986619090096</v>
      </c>
      <c r="FE54" s="71">
        <v>5423.4695622750623</v>
      </c>
      <c r="FF54" s="72">
        <v>1322118</v>
      </c>
      <c r="FG54" s="72">
        <v>1330153</v>
      </c>
      <c r="FH54" s="476">
        <v>1337730</v>
      </c>
      <c r="FI54" s="476">
        <v>1346084.449</v>
      </c>
      <c r="FJ54" s="476">
        <v>1354638.8</v>
      </c>
      <c r="FK54" s="476">
        <v>1363534.9010000001</v>
      </c>
    </row>
    <row r="55" spans="1:167">
      <c r="A55" s="73" t="s">
        <v>899</v>
      </c>
      <c r="B55" s="19" t="s">
        <v>900</v>
      </c>
      <c r="C55" s="74" t="s">
        <v>700</v>
      </c>
      <c r="D55" s="75" t="s">
        <v>209</v>
      </c>
      <c r="E55" s="76">
        <v>110</v>
      </c>
      <c r="F55" s="77">
        <v>105</v>
      </c>
      <c r="G55" s="410">
        <v>110</v>
      </c>
      <c r="H55" s="78">
        <v>22495</v>
      </c>
      <c r="I55" s="77">
        <v>23135</v>
      </c>
      <c r="J55" s="410">
        <v>23806</v>
      </c>
      <c r="K55" s="410">
        <v>24264.778000000006</v>
      </c>
      <c r="L55" s="418">
        <v>24910.158999999996</v>
      </c>
      <c r="M55" s="79">
        <v>497.9</v>
      </c>
      <c r="N55" s="80">
        <v>458.2</v>
      </c>
      <c r="O55" s="421">
        <v>484.1</v>
      </c>
      <c r="P55" s="71">
        <v>94</v>
      </c>
      <c r="Q55" s="75" t="s">
        <v>209</v>
      </c>
      <c r="R55" s="81">
        <v>55</v>
      </c>
      <c r="S55" s="77">
        <v>75</v>
      </c>
      <c r="T55" s="452">
        <v>80</v>
      </c>
      <c r="U55" s="77">
        <v>65</v>
      </c>
      <c r="V55" s="77">
        <v>85</v>
      </c>
      <c r="W55" s="452">
        <v>90</v>
      </c>
      <c r="X55" s="82">
        <v>84.6</v>
      </c>
      <c r="Y55" s="83">
        <v>88.4</v>
      </c>
      <c r="Z55" s="443">
        <v>87.6</v>
      </c>
      <c r="AA55" s="63">
        <v>80</v>
      </c>
      <c r="AB55" s="63">
        <v>86</v>
      </c>
      <c r="AC55" s="19" t="s">
        <v>209</v>
      </c>
      <c r="AD55" s="84">
        <v>438</v>
      </c>
      <c r="AE55" s="85">
        <v>351</v>
      </c>
      <c r="AF55" s="85">
        <v>489</v>
      </c>
      <c r="AG55" s="85">
        <v>526</v>
      </c>
      <c r="AH55" s="85">
        <v>671</v>
      </c>
      <c r="AI55" s="85">
        <v>570</v>
      </c>
      <c r="AJ55" s="85">
        <v>540</v>
      </c>
      <c r="AK55" s="85">
        <v>475</v>
      </c>
      <c r="AL55" s="85">
        <v>416</v>
      </c>
      <c r="AM55" s="85">
        <v>326</v>
      </c>
      <c r="AN55" s="85">
        <v>364</v>
      </c>
      <c r="AO55" s="85">
        <v>381</v>
      </c>
      <c r="AP55" s="85">
        <v>410</v>
      </c>
      <c r="AQ55" s="85">
        <v>405</v>
      </c>
      <c r="AR55" s="85">
        <v>347</v>
      </c>
      <c r="AS55" s="85">
        <v>362</v>
      </c>
      <c r="AT55" s="85">
        <v>297</v>
      </c>
      <c r="AU55" s="85">
        <v>289</v>
      </c>
      <c r="AV55" s="85">
        <v>384</v>
      </c>
      <c r="AW55" s="85">
        <v>373</v>
      </c>
      <c r="AX55" s="86">
        <v>330</v>
      </c>
      <c r="AY55" s="86">
        <v>295</v>
      </c>
      <c r="AZ55" s="86">
        <v>472</v>
      </c>
      <c r="BA55" s="86">
        <v>515</v>
      </c>
      <c r="BB55" s="86">
        <v>352</v>
      </c>
      <c r="BC55" s="86">
        <v>485</v>
      </c>
      <c r="BD55" s="86">
        <v>558</v>
      </c>
      <c r="BE55" s="86">
        <v>376</v>
      </c>
      <c r="BF55" s="86">
        <v>497</v>
      </c>
      <c r="BG55" s="86">
        <v>559</v>
      </c>
      <c r="BH55" s="86">
        <v>371</v>
      </c>
      <c r="BI55" s="86">
        <v>518</v>
      </c>
      <c r="BJ55" s="86">
        <v>629</v>
      </c>
      <c r="BK55" s="86">
        <v>623</v>
      </c>
      <c r="BL55" s="86">
        <v>528</v>
      </c>
      <c r="BM55" s="86">
        <v>436</v>
      </c>
      <c r="BN55" s="86">
        <v>456</v>
      </c>
      <c r="BO55" s="86">
        <v>448</v>
      </c>
      <c r="BP55" s="86">
        <v>509</v>
      </c>
      <c r="BQ55" s="86">
        <v>592</v>
      </c>
      <c r="BR55" s="85">
        <v>824</v>
      </c>
      <c r="BS55" s="85">
        <v>843</v>
      </c>
      <c r="BT55" s="85">
        <v>477</v>
      </c>
      <c r="BU55" s="85">
        <v>544</v>
      </c>
      <c r="BV55" s="67">
        <v>1780</v>
      </c>
      <c r="BW55" s="67">
        <v>1340</v>
      </c>
      <c r="BX55" s="67">
        <v>1925</v>
      </c>
      <c r="BY55" s="67">
        <v>1864</v>
      </c>
      <c r="BZ55" s="68">
        <v>1677.120084566596</v>
      </c>
      <c r="CA55" s="68">
        <v>1711.4729386892177</v>
      </c>
      <c r="CB55" s="68">
        <v>1745.8257928118392</v>
      </c>
      <c r="CC55" s="68">
        <v>1780.1786469344606</v>
      </c>
      <c r="CD55" s="68">
        <v>1814.5315010570823</v>
      </c>
      <c r="CE55" s="68">
        <v>1848.884355179704</v>
      </c>
      <c r="CF55" s="68">
        <v>1883.2372093023255</v>
      </c>
      <c r="CG55" s="68">
        <v>1917.5900634249469</v>
      </c>
      <c r="CH55" s="87">
        <v>200700</v>
      </c>
      <c r="CI55" s="467">
        <v>204425</v>
      </c>
      <c r="CJ55" s="467">
        <v>207758.274</v>
      </c>
      <c r="CK55" s="467">
        <v>211287.56200000001</v>
      </c>
      <c r="CL55" s="468">
        <v>214889.44400000005</v>
      </c>
      <c r="CM55" s="19" t="s">
        <v>209</v>
      </c>
      <c r="CN55" s="70">
        <v>297</v>
      </c>
      <c r="CO55" s="70">
        <v>307</v>
      </c>
      <c r="CP55" s="70">
        <v>280</v>
      </c>
      <c r="CQ55" s="70">
        <v>283</v>
      </c>
      <c r="CR55" s="70">
        <v>260</v>
      </c>
      <c r="CS55" s="70">
        <v>263</v>
      </c>
      <c r="CT55" s="70">
        <v>332</v>
      </c>
      <c r="CU55" s="70">
        <v>322</v>
      </c>
      <c r="CV55" s="70">
        <v>351</v>
      </c>
      <c r="CW55" s="70">
        <v>308</v>
      </c>
      <c r="CX55" s="70">
        <v>303</v>
      </c>
      <c r="CY55" s="70">
        <v>322</v>
      </c>
      <c r="CZ55" s="70">
        <v>300</v>
      </c>
      <c r="DA55" s="70">
        <v>326</v>
      </c>
      <c r="DB55" s="70">
        <v>242</v>
      </c>
      <c r="DC55" s="70">
        <v>277</v>
      </c>
      <c r="DD55" s="70">
        <v>261</v>
      </c>
      <c r="DE55" s="70">
        <v>290</v>
      </c>
      <c r="DF55" s="70">
        <v>313</v>
      </c>
      <c r="DG55" s="70">
        <v>342</v>
      </c>
      <c r="DH55" s="70">
        <v>371</v>
      </c>
      <c r="DI55" s="70">
        <v>352</v>
      </c>
      <c r="DJ55" s="70">
        <v>321</v>
      </c>
      <c r="DK55" s="70">
        <v>335</v>
      </c>
      <c r="DL55" s="46">
        <v>333</v>
      </c>
      <c r="DM55" s="46">
        <v>314</v>
      </c>
      <c r="DN55" s="46">
        <v>301</v>
      </c>
      <c r="DO55" s="46">
        <v>242</v>
      </c>
      <c r="DP55" s="46">
        <v>279</v>
      </c>
      <c r="DQ55" s="46">
        <v>311</v>
      </c>
      <c r="DR55" s="46">
        <v>331</v>
      </c>
      <c r="DS55" s="46">
        <v>337</v>
      </c>
      <c r="DT55" s="46">
        <v>368</v>
      </c>
      <c r="DU55" s="46">
        <v>342</v>
      </c>
      <c r="DV55" s="46">
        <v>336</v>
      </c>
      <c r="DW55" s="46">
        <v>322</v>
      </c>
      <c r="DX55" s="46">
        <v>311</v>
      </c>
      <c r="DY55" s="46">
        <v>314</v>
      </c>
      <c r="DZ55" s="46">
        <v>285</v>
      </c>
      <c r="EA55" s="46">
        <v>292</v>
      </c>
      <c r="EB55" s="46">
        <v>305</v>
      </c>
      <c r="EC55" s="46">
        <v>331</v>
      </c>
      <c r="ED55" s="46">
        <v>309</v>
      </c>
      <c r="EE55" s="46">
        <v>316</v>
      </c>
      <c r="EF55" s="46">
        <v>352</v>
      </c>
      <c r="EG55" s="46">
        <v>346</v>
      </c>
      <c r="EH55" s="46">
        <v>351</v>
      </c>
      <c r="EI55" s="46">
        <v>321</v>
      </c>
      <c r="EJ55" s="46">
        <v>356</v>
      </c>
      <c r="EK55" s="46">
        <v>337</v>
      </c>
      <c r="EL55" s="46">
        <v>351</v>
      </c>
      <c r="EM55" s="46">
        <v>325</v>
      </c>
      <c r="EN55" s="46">
        <v>315</v>
      </c>
      <c r="EO55" s="46">
        <v>201</v>
      </c>
      <c r="EP55" s="46">
        <v>207</v>
      </c>
      <c r="EQ55" s="46">
        <v>212</v>
      </c>
      <c r="ER55" s="46">
        <v>268</v>
      </c>
      <c r="ES55" s="46">
        <v>277</v>
      </c>
      <c r="ET55" s="46">
        <v>1018</v>
      </c>
      <c r="EU55" s="46">
        <v>1044</v>
      </c>
      <c r="EV55" s="46">
        <v>841</v>
      </c>
      <c r="EW55" s="46">
        <v>687</v>
      </c>
      <c r="EX55" s="71">
        <v>917.53388292472846</v>
      </c>
      <c r="EY55" s="71">
        <v>916.97520686579105</v>
      </c>
      <c r="EZ55" s="71">
        <v>916.41653080685342</v>
      </c>
      <c r="FA55" s="71">
        <v>915.85785474791589</v>
      </c>
      <c r="FB55" s="71">
        <v>915.29917868897849</v>
      </c>
      <c r="FC55" s="71">
        <v>914.74050263004096</v>
      </c>
      <c r="FD55" s="71">
        <v>914.18182657110333</v>
      </c>
      <c r="FE55" s="71">
        <v>913.62315051216592</v>
      </c>
      <c r="FF55" s="72">
        <v>255540</v>
      </c>
      <c r="FG55" s="72">
        <v>258912</v>
      </c>
      <c r="FH55" s="476">
        <v>263386</v>
      </c>
      <c r="FI55" s="476">
        <v>266068.78999999998</v>
      </c>
      <c r="FJ55" s="476">
        <v>269575.065</v>
      </c>
      <c r="FK55" s="476">
        <v>273301.17200000002</v>
      </c>
    </row>
    <row r="56" spans="1:167">
      <c r="A56" s="73" t="s">
        <v>922</v>
      </c>
      <c r="B56" s="19" t="s">
        <v>923</v>
      </c>
      <c r="C56" s="74" t="s">
        <v>701</v>
      </c>
      <c r="D56" s="75" t="s">
        <v>212</v>
      </c>
      <c r="E56" s="76">
        <v>135</v>
      </c>
      <c r="F56" s="77">
        <v>120</v>
      </c>
      <c r="G56" s="410">
        <v>105</v>
      </c>
      <c r="H56" s="78">
        <v>33885</v>
      </c>
      <c r="I56" s="77">
        <v>34740</v>
      </c>
      <c r="J56" s="410">
        <v>35519</v>
      </c>
      <c r="K56" s="410">
        <v>36362.474000000002</v>
      </c>
      <c r="L56" s="418">
        <v>37195.760000000002</v>
      </c>
      <c r="M56" s="79">
        <v>404.3</v>
      </c>
      <c r="N56" s="80">
        <v>339.7</v>
      </c>
      <c r="O56" s="421">
        <v>308</v>
      </c>
      <c r="P56" s="71">
        <v>135</v>
      </c>
      <c r="Q56" s="75" t="s">
        <v>212</v>
      </c>
      <c r="R56" s="81">
        <v>290</v>
      </c>
      <c r="S56" s="77">
        <v>380</v>
      </c>
      <c r="T56" s="452">
        <v>280</v>
      </c>
      <c r="U56" s="77">
        <v>340</v>
      </c>
      <c r="V56" s="77">
        <v>455</v>
      </c>
      <c r="W56" s="452">
        <v>345</v>
      </c>
      <c r="X56" s="82">
        <v>85</v>
      </c>
      <c r="Y56" s="83">
        <v>83.6</v>
      </c>
      <c r="Z56" s="443">
        <v>82</v>
      </c>
      <c r="AA56" s="63">
        <v>380</v>
      </c>
      <c r="AB56" s="63">
        <v>455</v>
      </c>
      <c r="AC56" s="19" t="s">
        <v>212</v>
      </c>
      <c r="AD56" s="84">
        <v>120</v>
      </c>
      <c r="AE56" s="85">
        <v>211</v>
      </c>
      <c r="AF56" s="85">
        <v>226</v>
      </c>
      <c r="AG56" s="85">
        <v>306</v>
      </c>
      <c r="AH56" s="85">
        <v>300</v>
      </c>
      <c r="AI56" s="85">
        <v>167</v>
      </c>
      <c r="AJ56" s="85">
        <v>242</v>
      </c>
      <c r="AK56" s="85">
        <v>254</v>
      </c>
      <c r="AL56" s="85">
        <v>287</v>
      </c>
      <c r="AM56" s="85">
        <v>325</v>
      </c>
      <c r="AN56" s="85">
        <v>280</v>
      </c>
      <c r="AO56" s="85">
        <v>332</v>
      </c>
      <c r="AP56" s="85">
        <v>306</v>
      </c>
      <c r="AQ56" s="85">
        <v>277</v>
      </c>
      <c r="AR56" s="85">
        <v>257</v>
      </c>
      <c r="AS56" s="85">
        <v>302</v>
      </c>
      <c r="AT56" s="85">
        <v>354</v>
      </c>
      <c r="AU56" s="85">
        <v>306</v>
      </c>
      <c r="AV56" s="85">
        <v>334</v>
      </c>
      <c r="AW56" s="85">
        <v>410</v>
      </c>
      <c r="AX56" s="86">
        <v>449</v>
      </c>
      <c r="AY56" s="86">
        <v>506</v>
      </c>
      <c r="AZ56" s="86">
        <v>440</v>
      </c>
      <c r="BA56" s="86">
        <v>407</v>
      </c>
      <c r="BB56" s="86">
        <v>334</v>
      </c>
      <c r="BC56" s="86">
        <v>286</v>
      </c>
      <c r="BD56" s="86">
        <v>479</v>
      </c>
      <c r="BE56" s="86">
        <v>617</v>
      </c>
      <c r="BF56" s="86">
        <v>425</v>
      </c>
      <c r="BG56" s="86">
        <v>222</v>
      </c>
      <c r="BH56" s="86">
        <v>273</v>
      </c>
      <c r="BI56" s="86">
        <v>430</v>
      </c>
      <c r="BJ56" s="86">
        <v>459</v>
      </c>
      <c r="BK56" s="86">
        <v>492</v>
      </c>
      <c r="BL56" s="86">
        <v>375</v>
      </c>
      <c r="BM56" s="86">
        <v>320</v>
      </c>
      <c r="BN56" s="86">
        <v>241</v>
      </c>
      <c r="BO56" s="86">
        <v>235</v>
      </c>
      <c r="BP56" s="86">
        <v>407</v>
      </c>
      <c r="BQ56" s="86">
        <v>435</v>
      </c>
      <c r="BR56" s="85">
        <v>458</v>
      </c>
      <c r="BS56" s="85">
        <v>330</v>
      </c>
      <c r="BT56" s="85">
        <v>394</v>
      </c>
      <c r="BU56" s="85">
        <v>213</v>
      </c>
      <c r="BV56" s="67">
        <v>1326</v>
      </c>
      <c r="BW56" s="67">
        <v>796</v>
      </c>
      <c r="BX56" s="67">
        <v>1300</v>
      </c>
      <c r="BY56" s="67">
        <v>937</v>
      </c>
      <c r="BZ56" s="68">
        <v>1258.1841437632133</v>
      </c>
      <c r="CA56" s="68">
        <v>1289.783086680761</v>
      </c>
      <c r="CB56" s="68">
        <v>1321.3820295983087</v>
      </c>
      <c r="CC56" s="68">
        <v>1352.9809725158561</v>
      </c>
      <c r="CD56" s="68">
        <v>1384.5799154334036</v>
      </c>
      <c r="CE56" s="68">
        <v>1416.1788583509513</v>
      </c>
      <c r="CF56" s="68">
        <v>1447.7778012684987</v>
      </c>
      <c r="CG56" s="68">
        <v>1479.3767441860464</v>
      </c>
      <c r="CH56" s="87">
        <v>187200</v>
      </c>
      <c r="CI56" s="467">
        <v>187629</v>
      </c>
      <c r="CJ56" s="467">
        <v>191365.04800000001</v>
      </c>
      <c r="CK56" s="467">
        <v>193591.44399999993</v>
      </c>
      <c r="CL56" s="468">
        <v>195858.60499999989</v>
      </c>
      <c r="CM56" s="19" t="s">
        <v>212</v>
      </c>
      <c r="CN56" s="70">
        <v>304</v>
      </c>
      <c r="CO56" s="70">
        <v>273</v>
      </c>
      <c r="CP56" s="70">
        <v>261</v>
      </c>
      <c r="CQ56" s="70">
        <v>254</v>
      </c>
      <c r="CR56" s="70">
        <v>277</v>
      </c>
      <c r="CS56" s="70">
        <v>289</v>
      </c>
      <c r="CT56" s="70">
        <v>386</v>
      </c>
      <c r="CU56" s="70">
        <v>328</v>
      </c>
      <c r="CV56" s="70">
        <v>353</v>
      </c>
      <c r="CW56" s="70">
        <v>281</v>
      </c>
      <c r="CX56" s="70">
        <v>316</v>
      </c>
      <c r="CY56" s="70">
        <v>348</v>
      </c>
      <c r="CZ56" s="70">
        <v>323</v>
      </c>
      <c r="DA56" s="70">
        <v>285</v>
      </c>
      <c r="DB56" s="70">
        <v>253</v>
      </c>
      <c r="DC56" s="70">
        <v>268</v>
      </c>
      <c r="DD56" s="70">
        <v>291</v>
      </c>
      <c r="DE56" s="70">
        <v>250</v>
      </c>
      <c r="DF56" s="70">
        <v>271</v>
      </c>
      <c r="DG56" s="70">
        <v>293</v>
      </c>
      <c r="DH56" s="70">
        <v>352</v>
      </c>
      <c r="DI56" s="70">
        <v>310</v>
      </c>
      <c r="DJ56" s="70">
        <v>294</v>
      </c>
      <c r="DK56" s="70">
        <v>276</v>
      </c>
      <c r="DL56" s="46">
        <v>315</v>
      </c>
      <c r="DM56" s="46">
        <v>323</v>
      </c>
      <c r="DN56" s="46">
        <v>335</v>
      </c>
      <c r="DO56" s="46">
        <v>309</v>
      </c>
      <c r="DP56" s="46">
        <v>294</v>
      </c>
      <c r="DQ56" s="46">
        <v>271</v>
      </c>
      <c r="DR56" s="46">
        <v>306</v>
      </c>
      <c r="DS56" s="46">
        <v>348</v>
      </c>
      <c r="DT56" s="46">
        <v>374</v>
      </c>
      <c r="DU56" s="46">
        <v>330</v>
      </c>
      <c r="DV56" s="46">
        <v>367</v>
      </c>
      <c r="DW56" s="46">
        <v>327</v>
      </c>
      <c r="DX56" s="46">
        <v>360</v>
      </c>
      <c r="DY56" s="46">
        <v>373</v>
      </c>
      <c r="DZ56" s="46">
        <v>315</v>
      </c>
      <c r="EA56" s="46">
        <v>385</v>
      </c>
      <c r="EB56" s="46">
        <v>350</v>
      </c>
      <c r="EC56" s="46">
        <v>377</v>
      </c>
      <c r="ED56" s="46">
        <v>368</v>
      </c>
      <c r="EE56" s="46">
        <v>374</v>
      </c>
      <c r="EF56" s="46">
        <v>425</v>
      </c>
      <c r="EG56" s="46">
        <v>371</v>
      </c>
      <c r="EH56" s="46">
        <v>385</v>
      </c>
      <c r="EI56" s="46">
        <v>354</v>
      </c>
      <c r="EJ56" s="46">
        <v>339</v>
      </c>
      <c r="EK56" s="46">
        <v>382</v>
      </c>
      <c r="EL56" s="46">
        <v>328</v>
      </c>
      <c r="EM56" s="46">
        <v>359</v>
      </c>
      <c r="EN56" s="46">
        <v>345</v>
      </c>
      <c r="EO56" s="46">
        <v>340</v>
      </c>
      <c r="EP56" s="46">
        <v>360</v>
      </c>
      <c r="EQ56" s="46">
        <v>361</v>
      </c>
      <c r="ER56" s="46">
        <v>385</v>
      </c>
      <c r="ES56" s="46">
        <v>375</v>
      </c>
      <c r="ET56" s="46">
        <v>1110</v>
      </c>
      <c r="EU56" s="46">
        <v>1049</v>
      </c>
      <c r="EV56" s="46">
        <v>1044</v>
      </c>
      <c r="EW56" s="46">
        <v>1106</v>
      </c>
      <c r="EX56" s="71">
        <v>1147.1710603217568</v>
      </c>
      <c r="EY56" s="71">
        <v>1162.1279645636591</v>
      </c>
      <c r="EZ56" s="71">
        <v>1177.0848688055614</v>
      </c>
      <c r="FA56" s="71">
        <v>1192.0417730474637</v>
      </c>
      <c r="FB56" s="71">
        <v>1206.9986772893658</v>
      </c>
      <c r="FC56" s="71">
        <v>1221.9555815312681</v>
      </c>
      <c r="FD56" s="71">
        <v>1236.9124857731704</v>
      </c>
      <c r="FE56" s="71">
        <v>1251.8693900150724</v>
      </c>
      <c r="FF56" s="72">
        <v>240499</v>
      </c>
      <c r="FG56" s="72">
        <v>242377</v>
      </c>
      <c r="FH56" s="476">
        <v>243372</v>
      </c>
      <c r="FI56" s="476">
        <v>247909.59700000001</v>
      </c>
      <c r="FJ56" s="476">
        <v>250791.302</v>
      </c>
      <c r="FK56" s="476">
        <v>253820.96599999999</v>
      </c>
    </row>
    <row r="57" spans="1:167">
      <c r="A57" s="73" t="s">
        <v>935</v>
      </c>
      <c r="B57" s="19" t="s">
        <v>936</v>
      </c>
      <c r="C57" s="74" t="s">
        <v>702</v>
      </c>
      <c r="D57" s="75" t="s">
        <v>215</v>
      </c>
      <c r="E57" s="76">
        <v>140</v>
      </c>
      <c r="F57" s="77">
        <v>140</v>
      </c>
      <c r="G57" s="410">
        <v>145</v>
      </c>
      <c r="H57" s="78">
        <v>15690</v>
      </c>
      <c r="I57" s="77">
        <v>16205</v>
      </c>
      <c r="J57" s="410">
        <v>16650</v>
      </c>
      <c r="K57" s="410">
        <v>16992.156000000003</v>
      </c>
      <c r="L57" s="418">
        <v>17331.191000000003</v>
      </c>
      <c r="M57" s="79">
        <v>898.8</v>
      </c>
      <c r="N57" s="80">
        <v>857.8</v>
      </c>
      <c r="O57" s="421">
        <v>907.2</v>
      </c>
      <c r="P57" s="71">
        <v>140</v>
      </c>
      <c r="Q57" s="75" t="s">
        <v>215</v>
      </c>
      <c r="R57" s="81">
        <v>30</v>
      </c>
      <c r="S57" s="77">
        <v>55</v>
      </c>
      <c r="T57" s="452">
        <v>55</v>
      </c>
      <c r="U57" s="77">
        <v>35</v>
      </c>
      <c r="V57" s="77">
        <v>65</v>
      </c>
      <c r="W57" s="452">
        <v>65</v>
      </c>
      <c r="X57" s="82">
        <v>86.5</v>
      </c>
      <c r="Y57" s="83">
        <v>83.6</v>
      </c>
      <c r="Z57" s="443">
        <v>87.5</v>
      </c>
      <c r="AA57" s="63">
        <v>60</v>
      </c>
      <c r="AB57" s="63">
        <v>65</v>
      </c>
      <c r="AC57" s="19" t="s">
        <v>215</v>
      </c>
      <c r="AD57" s="84">
        <v>19</v>
      </c>
      <c r="AE57" s="85">
        <v>20</v>
      </c>
      <c r="AF57" s="85">
        <v>65</v>
      </c>
      <c r="AG57" s="85">
        <v>94</v>
      </c>
      <c r="AH57" s="85">
        <v>54</v>
      </c>
      <c r="AI57" s="85">
        <v>11</v>
      </c>
      <c r="AJ57" s="85">
        <v>65</v>
      </c>
      <c r="AK57" s="85">
        <v>58</v>
      </c>
      <c r="AL57" s="85">
        <v>97</v>
      </c>
      <c r="AM57" s="85">
        <v>92</v>
      </c>
      <c r="AN57" s="85">
        <v>79</v>
      </c>
      <c r="AO57" s="85">
        <v>132</v>
      </c>
      <c r="AP57" s="85">
        <v>95</v>
      </c>
      <c r="AQ57" s="85">
        <v>157</v>
      </c>
      <c r="AR57" s="85">
        <v>95</v>
      </c>
      <c r="AS57" s="85">
        <v>120</v>
      </c>
      <c r="AT57" s="85">
        <v>153</v>
      </c>
      <c r="AU57" s="85">
        <v>142</v>
      </c>
      <c r="AV57" s="85">
        <v>91</v>
      </c>
      <c r="AW57" s="85">
        <v>198</v>
      </c>
      <c r="AX57" s="86">
        <v>128</v>
      </c>
      <c r="AY57" s="86">
        <v>108</v>
      </c>
      <c r="AZ57" s="86">
        <v>148</v>
      </c>
      <c r="BA57" s="86">
        <v>107</v>
      </c>
      <c r="BB57" s="86">
        <v>120</v>
      </c>
      <c r="BC57" s="86">
        <v>112</v>
      </c>
      <c r="BD57" s="86">
        <v>95</v>
      </c>
      <c r="BE57" s="86">
        <v>116</v>
      </c>
      <c r="BF57" s="86">
        <v>116</v>
      </c>
      <c r="BG57" s="86">
        <v>194</v>
      </c>
      <c r="BH57" s="86">
        <v>131</v>
      </c>
      <c r="BI57" s="86">
        <v>150</v>
      </c>
      <c r="BJ57" s="86">
        <v>116</v>
      </c>
      <c r="BK57" s="86">
        <v>122</v>
      </c>
      <c r="BL57" s="86">
        <v>80</v>
      </c>
      <c r="BM57" s="86">
        <v>64</v>
      </c>
      <c r="BN57" s="86">
        <v>146</v>
      </c>
      <c r="BO57" s="86">
        <v>209</v>
      </c>
      <c r="BP57" s="86">
        <v>175</v>
      </c>
      <c r="BQ57" s="86">
        <v>199</v>
      </c>
      <c r="BR57" s="85">
        <v>130</v>
      </c>
      <c r="BS57" s="85">
        <v>164</v>
      </c>
      <c r="BT57" s="85">
        <v>182</v>
      </c>
      <c r="BU57" s="85">
        <v>201</v>
      </c>
      <c r="BV57" s="67">
        <v>318</v>
      </c>
      <c r="BW57" s="67">
        <v>419</v>
      </c>
      <c r="BX57" s="67">
        <v>504</v>
      </c>
      <c r="BY57" s="67">
        <v>547</v>
      </c>
      <c r="BZ57" s="68">
        <v>537.77505285412258</v>
      </c>
      <c r="CA57" s="68">
        <v>561.601268498943</v>
      </c>
      <c r="CB57" s="68">
        <v>585.42748414376319</v>
      </c>
      <c r="CC57" s="68">
        <v>609.2536997885835</v>
      </c>
      <c r="CD57" s="68">
        <v>633.07991543340381</v>
      </c>
      <c r="CE57" s="68">
        <v>656.90613107822412</v>
      </c>
      <c r="CF57" s="68">
        <v>680.73234672304443</v>
      </c>
      <c r="CG57" s="68">
        <v>704.55856236786462</v>
      </c>
      <c r="CH57" s="87">
        <v>71900</v>
      </c>
      <c r="CI57" s="467">
        <v>72478</v>
      </c>
      <c r="CJ57" s="467">
        <v>72533.66</v>
      </c>
      <c r="CK57" s="467">
        <v>72833.429000000004</v>
      </c>
      <c r="CL57" s="468">
        <v>73024.455000000075</v>
      </c>
      <c r="CM57" s="19" t="s">
        <v>215</v>
      </c>
      <c r="CN57" s="70">
        <v>280</v>
      </c>
      <c r="CO57" s="70">
        <v>232</v>
      </c>
      <c r="CP57" s="70">
        <v>248</v>
      </c>
      <c r="CQ57" s="70">
        <v>230</v>
      </c>
      <c r="CR57" s="70">
        <v>229</v>
      </c>
      <c r="CS57" s="70">
        <v>208</v>
      </c>
      <c r="CT57" s="70">
        <v>249</v>
      </c>
      <c r="CU57" s="70">
        <v>288</v>
      </c>
      <c r="CV57" s="70">
        <v>302</v>
      </c>
      <c r="CW57" s="70">
        <v>270</v>
      </c>
      <c r="CX57" s="70">
        <v>255</v>
      </c>
      <c r="CY57" s="70">
        <v>276</v>
      </c>
      <c r="CZ57" s="70">
        <v>233</v>
      </c>
      <c r="DA57" s="70">
        <v>245</v>
      </c>
      <c r="DB57" s="70">
        <v>247</v>
      </c>
      <c r="DC57" s="70">
        <v>270</v>
      </c>
      <c r="DD57" s="70">
        <v>222</v>
      </c>
      <c r="DE57" s="70">
        <v>213</v>
      </c>
      <c r="DF57" s="70">
        <v>276</v>
      </c>
      <c r="DG57" s="70">
        <v>275</v>
      </c>
      <c r="DH57" s="70">
        <v>307</v>
      </c>
      <c r="DI57" s="70">
        <v>313</v>
      </c>
      <c r="DJ57" s="70">
        <v>261</v>
      </c>
      <c r="DK57" s="70">
        <v>280</v>
      </c>
      <c r="DL57" s="46">
        <v>217</v>
      </c>
      <c r="DM57" s="46">
        <v>208</v>
      </c>
      <c r="DN57" s="46">
        <v>205</v>
      </c>
      <c r="DO57" s="46">
        <v>209</v>
      </c>
      <c r="DP57" s="46">
        <v>199</v>
      </c>
      <c r="DQ57" s="46">
        <v>205</v>
      </c>
      <c r="DR57" s="46">
        <v>190</v>
      </c>
      <c r="DS57" s="46">
        <v>246</v>
      </c>
      <c r="DT57" s="46">
        <v>291</v>
      </c>
      <c r="DU57" s="46">
        <v>307</v>
      </c>
      <c r="DV57" s="46">
        <v>260</v>
      </c>
      <c r="DW57" s="46">
        <v>220</v>
      </c>
      <c r="DX57" s="46">
        <v>222</v>
      </c>
      <c r="DY57" s="46">
        <v>234</v>
      </c>
      <c r="DZ57" s="46">
        <v>226</v>
      </c>
      <c r="EA57" s="46">
        <v>236</v>
      </c>
      <c r="EB57" s="46">
        <v>201</v>
      </c>
      <c r="EC57" s="46">
        <v>186</v>
      </c>
      <c r="ED57" s="46">
        <v>267</v>
      </c>
      <c r="EE57" s="46">
        <v>232</v>
      </c>
      <c r="EF57" s="46">
        <v>322</v>
      </c>
      <c r="EG57" s="46">
        <v>275</v>
      </c>
      <c r="EH57" s="46">
        <v>213</v>
      </c>
      <c r="EI57" s="46">
        <v>225</v>
      </c>
      <c r="EJ57" s="46">
        <v>253</v>
      </c>
      <c r="EK57" s="46">
        <v>242</v>
      </c>
      <c r="EL57" s="46">
        <v>222</v>
      </c>
      <c r="EM57" s="46">
        <v>223</v>
      </c>
      <c r="EN57" s="46">
        <v>211</v>
      </c>
      <c r="EO57" s="46">
        <v>195</v>
      </c>
      <c r="EP57" s="46">
        <v>225</v>
      </c>
      <c r="EQ57" s="46">
        <v>206</v>
      </c>
      <c r="ER57" s="46">
        <v>236</v>
      </c>
      <c r="ES57" s="46">
        <v>206</v>
      </c>
      <c r="ET57" s="46">
        <v>713</v>
      </c>
      <c r="EU57" s="46">
        <v>717</v>
      </c>
      <c r="EV57" s="46">
        <v>629</v>
      </c>
      <c r="EW57" s="46">
        <v>667</v>
      </c>
      <c r="EX57" s="71">
        <v>665.53388292472857</v>
      </c>
      <c r="EY57" s="71">
        <v>660.00968962441164</v>
      </c>
      <c r="EZ57" s="71">
        <v>654.48549632409481</v>
      </c>
      <c r="FA57" s="71">
        <v>648.96130302377799</v>
      </c>
      <c r="FB57" s="71">
        <v>643.43710972346116</v>
      </c>
      <c r="FC57" s="71">
        <v>637.91291642314434</v>
      </c>
      <c r="FD57" s="71">
        <v>632.38872312282751</v>
      </c>
      <c r="FE57" s="71">
        <v>626.86452982251069</v>
      </c>
      <c r="FF57" s="72">
        <v>92088</v>
      </c>
      <c r="FG57" s="72">
        <v>92238</v>
      </c>
      <c r="FH57" s="476">
        <v>92665</v>
      </c>
      <c r="FI57" s="476">
        <v>92639.206000000006</v>
      </c>
      <c r="FJ57" s="476">
        <v>92900.89</v>
      </c>
      <c r="FK57" s="476">
        <v>93171.778000000006</v>
      </c>
    </row>
    <row r="58" spans="1:167">
      <c r="A58" s="73" t="s">
        <v>899</v>
      </c>
      <c r="B58" s="19" t="s">
        <v>900</v>
      </c>
      <c r="C58" s="74" t="s">
        <v>703</v>
      </c>
      <c r="D58" s="75" t="s">
        <v>219</v>
      </c>
      <c r="E58" s="76">
        <v>230</v>
      </c>
      <c r="F58" s="77">
        <v>295</v>
      </c>
      <c r="G58" s="410">
        <v>255</v>
      </c>
      <c r="H58" s="78">
        <v>42555</v>
      </c>
      <c r="I58" s="77">
        <v>43955</v>
      </c>
      <c r="J58" s="410">
        <v>44815</v>
      </c>
      <c r="K58" s="410">
        <v>45639.189999999995</v>
      </c>
      <c r="L58" s="418">
        <v>46309.9</v>
      </c>
      <c r="M58" s="79">
        <v>538.1</v>
      </c>
      <c r="N58" s="80">
        <v>675.7</v>
      </c>
      <c r="O58" s="421">
        <v>584.70000000000005</v>
      </c>
      <c r="P58" s="71">
        <v>266</v>
      </c>
      <c r="Q58" s="75" t="s">
        <v>219</v>
      </c>
      <c r="R58" s="81">
        <v>165</v>
      </c>
      <c r="S58" s="77">
        <v>185</v>
      </c>
      <c r="T58" s="452">
        <v>195</v>
      </c>
      <c r="U58" s="77">
        <v>215</v>
      </c>
      <c r="V58" s="77">
        <v>230</v>
      </c>
      <c r="W58" s="452">
        <v>245</v>
      </c>
      <c r="X58" s="82">
        <v>77.2</v>
      </c>
      <c r="Y58" s="83">
        <v>82</v>
      </c>
      <c r="Z58" s="443">
        <v>80.7</v>
      </c>
      <c r="AA58" s="63">
        <v>218</v>
      </c>
      <c r="AB58" s="63">
        <v>250</v>
      </c>
      <c r="AC58" s="19" t="s">
        <v>219</v>
      </c>
      <c r="AD58" s="84">
        <v>506</v>
      </c>
      <c r="AE58" s="85">
        <v>1014</v>
      </c>
      <c r="AF58" s="85">
        <v>779</v>
      </c>
      <c r="AG58" s="85">
        <v>462</v>
      </c>
      <c r="AH58" s="85">
        <v>515</v>
      </c>
      <c r="AI58" s="85">
        <v>540</v>
      </c>
      <c r="AJ58" s="85">
        <v>760</v>
      </c>
      <c r="AK58" s="85">
        <v>724</v>
      </c>
      <c r="AL58" s="85">
        <v>399</v>
      </c>
      <c r="AM58" s="85">
        <v>639</v>
      </c>
      <c r="AN58" s="85">
        <v>629</v>
      </c>
      <c r="AO58" s="85">
        <v>684</v>
      </c>
      <c r="AP58" s="85">
        <v>519</v>
      </c>
      <c r="AQ58" s="85">
        <v>818</v>
      </c>
      <c r="AR58" s="85">
        <v>773</v>
      </c>
      <c r="AS58" s="85">
        <v>990</v>
      </c>
      <c r="AT58" s="85">
        <v>767</v>
      </c>
      <c r="AU58" s="85">
        <v>593</v>
      </c>
      <c r="AV58" s="85">
        <v>756</v>
      </c>
      <c r="AW58" s="85">
        <v>574</v>
      </c>
      <c r="AX58" s="86">
        <v>745</v>
      </c>
      <c r="AY58" s="86">
        <v>896</v>
      </c>
      <c r="AZ58" s="86">
        <v>599</v>
      </c>
      <c r="BA58" s="86">
        <v>526</v>
      </c>
      <c r="BB58" s="86">
        <v>862</v>
      </c>
      <c r="BC58" s="86">
        <v>761</v>
      </c>
      <c r="BD58" s="86">
        <v>628</v>
      </c>
      <c r="BE58" s="86">
        <v>477</v>
      </c>
      <c r="BF58" s="86">
        <v>305</v>
      </c>
      <c r="BG58" s="86">
        <v>314</v>
      </c>
      <c r="BH58" s="86">
        <v>229</v>
      </c>
      <c r="BI58" s="86">
        <v>323</v>
      </c>
      <c r="BJ58" s="86">
        <v>337</v>
      </c>
      <c r="BK58" s="86">
        <v>193</v>
      </c>
      <c r="BL58" s="86">
        <v>189</v>
      </c>
      <c r="BM58" s="86">
        <v>320</v>
      </c>
      <c r="BN58" s="86">
        <v>429</v>
      </c>
      <c r="BO58" s="86">
        <v>301</v>
      </c>
      <c r="BP58" s="86">
        <v>220</v>
      </c>
      <c r="BQ58" s="86">
        <v>253</v>
      </c>
      <c r="BR58" s="85">
        <v>448</v>
      </c>
      <c r="BS58" s="85">
        <v>245</v>
      </c>
      <c r="BT58" s="85">
        <v>322</v>
      </c>
      <c r="BU58" s="85">
        <v>235</v>
      </c>
      <c r="BV58" s="67">
        <v>719</v>
      </c>
      <c r="BW58" s="67">
        <v>1050</v>
      </c>
      <c r="BX58" s="67">
        <v>921</v>
      </c>
      <c r="BY58" s="67">
        <v>802</v>
      </c>
      <c r="BZ58" s="68">
        <v>781.92346723044409</v>
      </c>
      <c r="CA58" s="68">
        <v>676.34503171247377</v>
      </c>
      <c r="CB58" s="68">
        <v>570.76659619450345</v>
      </c>
      <c r="CC58" s="68">
        <v>465.18816067653313</v>
      </c>
      <c r="CD58" s="68">
        <v>359.60972515856247</v>
      </c>
      <c r="CE58" s="68">
        <v>254.03128964059215</v>
      </c>
      <c r="CF58" s="68">
        <v>148.45285412262183</v>
      </c>
      <c r="CG58" s="68">
        <v>42.87441860465151</v>
      </c>
      <c r="CH58" s="87">
        <v>188300</v>
      </c>
      <c r="CI58" s="467">
        <v>189960</v>
      </c>
      <c r="CJ58" s="467">
        <v>191795.60800000004</v>
      </c>
      <c r="CK58" s="467">
        <v>193581.67600000004</v>
      </c>
      <c r="CL58" s="468">
        <v>195337.008</v>
      </c>
      <c r="CM58" s="19" t="s">
        <v>219</v>
      </c>
      <c r="CN58" s="70">
        <v>361</v>
      </c>
      <c r="CO58" s="70">
        <v>348</v>
      </c>
      <c r="CP58" s="70">
        <v>293</v>
      </c>
      <c r="CQ58" s="70">
        <v>294</v>
      </c>
      <c r="CR58" s="70">
        <v>309</v>
      </c>
      <c r="CS58" s="70">
        <v>313</v>
      </c>
      <c r="CT58" s="70">
        <v>336</v>
      </c>
      <c r="CU58" s="70">
        <v>343</v>
      </c>
      <c r="CV58" s="70">
        <v>436</v>
      </c>
      <c r="CW58" s="70">
        <v>412</v>
      </c>
      <c r="CX58" s="70">
        <v>357</v>
      </c>
      <c r="CY58" s="70">
        <v>337</v>
      </c>
      <c r="CZ58" s="70">
        <v>360</v>
      </c>
      <c r="DA58" s="70">
        <v>356</v>
      </c>
      <c r="DB58" s="70">
        <v>354</v>
      </c>
      <c r="DC58" s="70">
        <v>357</v>
      </c>
      <c r="DD58" s="70">
        <v>349</v>
      </c>
      <c r="DE58" s="70">
        <v>288</v>
      </c>
      <c r="DF58" s="70">
        <v>379</v>
      </c>
      <c r="DG58" s="70">
        <v>382</v>
      </c>
      <c r="DH58" s="70">
        <v>460</v>
      </c>
      <c r="DI58" s="70">
        <v>457</v>
      </c>
      <c r="DJ58" s="70">
        <v>373</v>
      </c>
      <c r="DK58" s="70">
        <v>407</v>
      </c>
      <c r="DL58" s="46">
        <v>417</v>
      </c>
      <c r="DM58" s="46">
        <v>381</v>
      </c>
      <c r="DN58" s="46">
        <v>372</v>
      </c>
      <c r="DO58" s="46">
        <v>425</v>
      </c>
      <c r="DP58" s="46">
        <v>431</v>
      </c>
      <c r="DQ58" s="46">
        <v>382</v>
      </c>
      <c r="DR58" s="46">
        <v>424</v>
      </c>
      <c r="DS58" s="46">
        <v>446</v>
      </c>
      <c r="DT58" s="46">
        <v>544</v>
      </c>
      <c r="DU58" s="46">
        <v>438</v>
      </c>
      <c r="DV58" s="46">
        <v>455</v>
      </c>
      <c r="DW58" s="46">
        <v>417</v>
      </c>
      <c r="DX58" s="46">
        <v>420</v>
      </c>
      <c r="DY58" s="46">
        <v>464</v>
      </c>
      <c r="DZ58" s="46">
        <v>405</v>
      </c>
      <c r="EA58" s="46">
        <v>423</v>
      </c>
      <c r="EB58" s="46">
        <v>451</v>
      </c>
      <c r="EC58" s="46">
        <v>391</v>
      </c>
      <c r="ED58" s="46">
        <v>499</v>
      </c>
      <c r="EE58" s="46">
        <v>442</v>
      </c>
      <c r="EF58" s="46">
        <v>548</v>
      </c>
      <c r="EG58" s="46">
        <v>499</v>
      </c>
      <c r="EH58" s="46">
        <v>458</v>
      </c>
      <c r="EI58" s="46">
        <v>392</v>
      </c>
      <c r="EJ58" s="46">
        <v>462</v>
      </c>
      <c r="EK58" s="46">
        <v>451</v>
      </c>
      <c r="EL58" s="46">
        <v>407</v>
      </c>
      <c r="EM58" s="46">
        <v>394</v>
      </c>
      <c r="EN58" s="46">
        <v>368</v>
      </c>
      <c r="EO58" s="46">
        <v>369</v>
      </c>
      <c r="EP58" s="46">
        <v>418</v>
      </c>
      <c r="EQ58" s="46">
        <v>450</v>
      </c>
      <c r="ER58" s="46">
        <v>458</v>
      </c>
      <c r="ES58" s="46">
        <v>378</v>
      </c>
      <c r="ET58" s="46">
        <v>1349</v>
      </c>
      <c r="EU58" s="46">
        <v>1320</v>
      </c>
      <c r="EV58" s="46">
        <v>1131</v>
      </c>
      <c r="EW58" s="46">
        <v>1326</v>
      </c>
      <c r="EX58" s="71">
        <v>1405.1625703651296</v>
      </c>
      <c r="EY58" s="71">
        <v>1423.4322187701866</v>
      </c>
      <c r="EZ58" s="71">
        <v>1441.7018671752437</v>
      </c>
      <c r="FA58" s="71">
        <v>1459.9715155803005</v>
      </c>
      <c r="FB58" s="71">
        <v>1478.2411639853576</v>
      </c>
      <c r="FC58" s="71">
        <v>1496.5108123904147</v>
      </c>
      <c r="FD58" s="71">
        <v>1514.7804607954718</v>
      </c>
      <c r="FE58" s="71">
        <v>1533.0501092005288</v>
      </c>
      <c r="FF58" s="72">
        <v>237927</v>
      </c>
      <c r="FG58" s="72">
        <v>239733</v>
      </c>
      <c r="FH58" s="476">
        <v>242080</v>
      </c>
      <c r="FI58" s="476">
        <v>244430.739</v>
      </c>
      <c r="FJ58" s="476">
        <v>246998.39</v>
      </c>
      <c r="FK58" s="476">
        <v>249708.682</v>
      </c>
    </row>
    <row r="59" spans="1:167">
      <c r="A59" s="73" t="s">
        <v>937</v>
      </c>
      <c r="B59" s="19" t="s">
        <v>938</v>
      </c>
      <c r="C59" s="74" t="s">
        <v>704</v>
      </c>
      <c r="D59" s="75" t="s">
        <v>223</v>
      </c>
      <c r="E59" s="76">
        <v>240</v>
      </c>
      <c r="F59" s="77">
        <v>220</v>
      </c>
      <c r="G59" s="410">
        <v>250</v>
      </c>
      <c r="H59" s="78">
        <v>39375</v>
      </c>
      <c r="I59" s="77">
        <v>40820</v>
      </c>
      <c r="J59" s="410">
        <v>41972</v>
      </c>
      <c r="K59" s="410">
        <v>43325.722999999998</v>
      </c>
      <c r="L59" s="418">
        <v>44387.295000000006</v>
      </c>
      <c r="M59" s="79">
        <v>614.6</v>
      </c>
      <c r="N59" s="80">
        <v>539</v>
      </c>
      <c r="O59" s="421">
        <v>607.5</v>
      </c>
      <c r="P59" s="71">
        <v>220</v>
      </c>
      <c r="Q59" s="75" t="s">
        <v>223</v>
      </c>
      <c r="R59" s="81">
        <v>90</v>
      </c>
      <c r="S59" s="77">
        <v>135</v>
      </c>
      <c r="T59" s="452">
        <v>30</v>
      </c>
      <c r="U59" s="77">
        <v>95</v>
      </c>
      <c r="V59" s="77">
        <v>155</v>
      </c>
      <c r="W59" s="452">
        <v>35</v>
      </c>
      <c r="X59" s="82">
        <v>93.8</v>
      </c>
      <c r="Y59" s="83">
        <v>87.3</v>
      </c>
      <c r="Z59" s="443">
        <v>83.3</v>
      </c>
      <c r="AA59" s="63">
        <v>145</v>
      </c>
      <c r="AB59" s="63">
        <v>155</v>
      </c>
      <c r="AC59" s="19" t="s">
        <v>223</v>
      </c>
      <c r="AD59" s="84">
        <v>845</v>
      </c>
      <c r="AE59" s="85">
        <v>824</v>
      </c>
      <c r="AF59" s="85">
        <v>858</v>
      </c>
      <c r="AG59" s="85">
        <v>458</v>
      </c>
      <c r="AH59" s="85">
        <v>489</v>
      </c>
      <c r="AI59" s="85">
        <v>406</v>
      </c>
      <c r="AJ59" s="85">
        <v>465</v>
      </c>
      <c r="AK59" s="85">
        <v>409</v>
      </c>
      <c r="AL59" s="85">
        <v>106</v>
      </c>
      <c r="AM59" s="85">
        <v>147</v>
      </c>
      <c r="AN59" s="85">
        <v>351</v>
      </c>
      <c r="AO59" s="85">
        <v>613</v>
      </c>
      <c r="AP59" s="85">
        <v>615</v>
      </c>
      <c r="AQ59" s="85">
        <v>517</v>
      </c>
      <c r="AR59" s="85">
        <v>381</v>
      </c>
      <c r="AS59" s="85">
        <v>280</v>
      </c>
      <c r="AT59" s="85">
        <v>518</v>
      </c>
      <c r="AU59" s="85">
        <v>381</v>
      </c>
      <c r="AV59" s="85">
        <v>583</v>
      </c>
      <c r="AW59" s="85">
        <v>464</v>
      </c>
      <c r="AX59" s="86">
        <v>192</v>
      </c>
      <c r="AY59" s="86">
        <v>169</v>
      </c>
      <c r="AZ59" s="86">
        <v>204</v>
      </c>
      <c r="BA59" s="86">
        <v>242</v>
      </c>
      <c r="BB59" s="86">
        <v>82</v>
      </c>
      <c r="BC59" s="86">
        <v>259</v>
      </c>
      <c r="BD59" s="86">
        <v>161</v>
      </c>
      <c r="BE59" s="86">
        <v>241</v>
      </c>
      <c r="BF59" s="86">
        <v>137</v>
      </c>
      <c r="BG59" s="86">
        <v>222</v>
      </c>
      <c r="BH59" s="86">
        <v>287</v>
      </c>
      <c r="BI59" s="86">
        <v>203</v>
      </c>
      <c r="BJ59" s="86">
        <v>127</v>
      </c>
      <c r="BK59" s="86">
        <v>224</v>
      </c>
      <c r="BL59" s="86">
        <v>185</v>
      </c>
      <c r="BM59" s="86">
        <v>193</v>
      </c>
      <c r="BN59" s="86">
        <v>199</v>
      </c>
      <c r="BO59" s="86">
        <v>166</v>
      </c>
      <c r="BP59" s="86">
        <v>325</v>
      </c>
      <c r="BQ59" s="86">
        <v>296</v>
      </c>
      <c r="BR59" s="85">
        <v>165</v>
      </c>
      <c r="BS59" s="85">
        <v>484</v>
      </c>
      <c r="BT59" s="85">
        <v>279</v>
      </c>
      <c r="BU59" s="85">
        <v>256</v>
      </c>
      <c r="BV59" s="67">
        <v>536</v>
      </c>
      <c r="BW59" s="67">
        <v>558</v>
      </c>
      <c r="BX59" s="67">
        <v>786</v>
      </c>
      <c r="BY59" s="67">
        <v>1019</v>
      </c>
      <c r="BZ59" s="68">
        <v>363.90147991543324</v>
      </c>
      <c r="CA59" s="68">
        <v>279.72642706131057</v>
      </c>
      <c r="CB59" s="68">
        <v>195.55137420718808</v>
      </c>
      <c r="CC59" s="68">
        <v>111.37632135306558</v>
      </c>
      <c r="CD59" s="68">
        <v>27.201268498942909</v>
      </c>
      <c r="CE59" s="68">
        <v>0</v>
      </c>
      <c r="CF59" s="68">
        <v>0</v>
      </c>
      <c r="CG59" s="68">
        <v>0</v>
      </c>
      <c r="CH59" s="87">
        <v>148900</v>
      </c>
      <c r="CI59" s="467">
        <v>150027</v>
      </c>
      <c r="CJ59" s="467">
        <v>150903.97499999995</v>
      </c>
      <c r="CK59" s="467">
        <v>151878.54100000003</v>
      </c>
      <c r="CL59" s="468">
        <v>153008.68099999998</v>
      </c>
      <c r="CM59" s="19" t="s">
        <v>223</v>
      </c>
      <c r="CN59" s="70">
        <v>125</v>
      </c>
      <c r="CO59" s="70">
        <v>131</v>
      </c>
      <c r="CP59" s="70">
        <v>116</v>
      </c>
      <c r="CQ59" s="70">
        <v>140</v>
      </c>
      <c r="CR59" s="70">
        <v>137</v>
      </c>
      <c r="CS59" s="70">
        <v>121</v>
      </c>
      <c r="CT59" s="70">
        <v>135</v>
      </c>
      <c r="CU59" s="70">
        <v>159</v>
      </c>
      <c r="CV59" s="70">
        <v>211</v>
      </c>
      <c r="CW59" s="70">
        <v>147</v>
      </c>
      <c r="CX59" s="70">
        <v>138</v>
      </c>
      <c r="CY59" s="70">
        <v>170</v>
      </c>
      <c r="CZ59" s="70">
        <v>141</v>
      </c>
      <c r="DA59" s="70">
        <v>123</v>
      </c>
      <c r="DB59" s="70">
        <v>125</v>
      </c>
      <c r="DC59" s="70">
        <v>136</v>
      </c>
      <c r="DD59" s="70">
        <v>112</v>
      </c>
      <c r="DE59" s="70">
        <v>128</v>
      </c>
      <c r="DF59" s="70">
        <v>135</v>
      </c>
      <c r="DG59" s="70">
        <v>133</v>
      </c>
      <c r="DH59" s="70">
        <v>184</v>
      </c>
      <c r="DI59" s="70">
        <v>132</v>
      </c>
      <c r="DJ59" s="70">
        <v>106</v>
      </c>
      <c r="DK59" s="70">
        <v>156</v>
      </c>
      <c r="DL59" s="46">
        <v>134</v>
      </c>
      <c r="DM59" s="46">
        <v>106</v>
      </c>
      <c r="DN59" s="46">
        <v>97</v>
      </c>
      <c r="DO59" s="46">
        <v>95</v>
      </c>
      <c r="DP59" s="46">
        <v>108</v>
      </c>
      <c r="DQ59" s="46">
        <v>196</v>
      </c>
      <c r="DR59" s="46">
        <v>256</v>
      </c>
      <c r="DS59" s="46">
        <v>308</v>
      </c>
      <c r="DT59" s="46">
        <v>345</v>
      </c>
      <c r="DU59" s="46">
        <v>265</v>
      </c>
      <c r="DV59" s="46">
        <v>348</v>
      </c>
      <c r="DW59" s="46">
        <v>310</v>
      </c>
      <c r="DX59" s="46">
        <v>265</v>
      </c>
      <c r="DY59" s="46">
        <v>306</v>
      </c>
      <c r="DZ59" s="46">
        <v>279</v>
      </c>
      <c r="EA59" s="46">
        <v>241</v>
      </c>
      <c r="EB59" s="46">
        <v>235</v>
      </c>
      <c r="EC59" s="46">
        <v>252</v>
      </c>
      <c r="ED59" s="46">
        <v>300</v>
      </c>
      <c r="EE59" s="46">
        <v>352</v>
      </c>
      <c r="EF59" s="46">
        <v>387</v>
      </c>
      <c r="EG59" s="46">
        <v>332</v>
      </c>
      <c r="EH59" s="46">
        <v>305</v>
      </c>
      <c r="EI59" s="46">
        <v>346</v>
      </c>
      <c r="EJ59" s="46">
        <v>296</v>
      </c>
      <c r="EK59" s="46">
        <v>277</v>
      </c>
      <c r="EL59" s="46">
        <v>249</v>
      </c>
      <c r="EM59" s="46">
        <v>256</v>
      </c>
      <c r="EN59" s="46">
        <v>235</v>
      </c>
      <c r="EO59" s="46">
        <v>263</v>
      </c>
      <c r="EP59" s="46">
        <v>281</v>
      </c>
      <c r="EQ59" s="46">
        <v>278</v>
      </c>
      <c r="ER59" s="46">
        <v>369</v>
      </c>
      <c r="ES59" s="46">
        <v>220</v>
      </c>
      <c r="ET59" s="46">
        <v>983</v>
      </c>
      <c r="EU59" s="46">
        <v>822</v>
      </c>
      <c r="EV59" s="46">
        <v>754</v>
      </c>
      <c r="EW59" s="46">
        <v>928</v>
      </c>
      <c r="EX59" s="71">
        <v>1010.1478667445938</v>
      </c>
      <c r="EY59" s="71">
        <v>1044.9853886616015</v>
      </c>
      <c r="EZ59" s="71">
        <v>1079.822910578609</v>
      </c>
      <c r="FA59" s="71">
        <v>1114.6604324956165</v>
      </c>
      <c r="FB59" s="71">
        <v>1149.497954412624</v>
      </c>
      <c r="FC59" s="71">
        <v>1184.3354763296318</v>
      </c>
      <c r="FD59" s="71">
        <v>1219.1729982466393</v>
      </c>
      <c r="FE59" s="71">
        <v>1254.010520163647</v>
      </c>
      <c r="FF59" s="72">
        <v>183619</v>
      </c>
      <c r="FG59" s="72">
        <v>184932</v>
      </c>
      <c r="FH59" s="476">
        <v>186087</v>
      </c>
      <c r="FI59" s="476">
        <v>186684.06700000001</v>
      </c>
      <c r="FJ59" s="476">
        <v>187667.20600000001</v>
      </c>
      <c r="FK59" s="476">
        <v>188724.42800000001</v>
      </c>
    </row>
    <row r="60" spans="1:167">
      <c r="A60" s="73" t="s">
        <v>905</v>
      </c>
      <c r="B60" s="19" t="s">
        <v>906</v>
      </c>
      <c r="C60" s="74" t="s">
        <v>705</v>
      </c>
      <c r="D60" s="75" t="s">
        <v>227</v>
      </c>
      <c r="E60" s="76">
        <v>1230</v>
      </c>
      <c r="F60" s="77">
        <v>1280</v>
      </c>
      <c r="G60" s="410">
        <v>1175</v>
      </c>
      <c r="H60" s="78">
        <v>175350</v>
      </c>
      <c r="I60" s="77">
        <v>181945</v>
      </c>
      <c r="J60" s="410">
        <v>186655</v>
      </c>
      <c r="K60" s="410">
        <v>190879.69699999993</v>
      </c>
      <c r="L60" s="418">
        <v>194817.6939999999</v>
      </c>
      <c r="M60" s="79">
        <v>700.9</v>
      </c>
      <c r="N60" s="80">
        <v>703.5</v>
      </c>
      <c r="O60" s="421">
        <v>645.79999999999995</v>
      </c>
      <c r="P60" s="71">
        <v>1257</v>
      </c>
      <c r="Q60" s="75" t="s">
        <v>227</v>
      </c>
      <c r="R60" s="81">
        <v>395</v>
      </c>
      <c r="S60" s="77">
        <v>385</v>
      </c>
      <c r="T60" s="452">
        <v>480</v>
      </c>
      <c r="U60" s="77">
        <v>455</v>
      </c>
      <c r="V60" s="77">
        <v>460</v>
      </c>
      <c r="W60" s="452">
        <v>565</v>
      </c>
      <c r="X60" s="82">
        <v>87.4</v>
      </c>
      <c r="Y60" s="83">
        <v>84.1</v>
      </c>
      <c r="Z60" s="443">
        <v>85.6</v>
      </c>
      <c r="AA60" s="63">
        <v>398</v>
      </c>
      <c r="AB60" s="63">
        <v>460</v>
      </c>
      <c r="AC60" s="19" t="s">
        <v>227</v>
      </c>
      <c r="AD60" s="84">
        <v>3198</v>
      </c>
      <c r="AE60" s="85">
        <v>3371</v>
      </c>
      <c r="AF60" s="85">
        <v>2840</v>
      </c>
      <c r="AG60" s="85">
        <v>2854</v>
      </c>
      <c r="AH60" s="85">
        <v>2338</v>
      </c>
      <c r="AI60" s="85">
        <v>2413</v>
      </c>
      <c r="AJ60" s="85">
        <v>2922</v>
      </c>
      <c r="AK60" s="85">
        <v>2848</v>
      </c>
      <c r="AL60" s="85">
        <v>3019</v>
      </c>
      <c r="AM60" s="85">
        <v>3054</v>
      </c>
      <c r="AN60" s="85">
        <v>3243</v>
      </c>
      <c r="AO60" s="85">
        <v>3043</v>
      </c>
      <c r="AP60" s="85">
        <v>3276</v>
      </c>
      <c r="AQ60" s="85">
        <v>2322</v>
      </c>
      <c r="AR60" s="85">
        <v>2726</v>
      </c>
      <c r="AS60" s="85">
        <v>2730</v>
      </c>
      <c r="AT60" s="85">
        <v>2948</v>
      </c>
      <c r="AU60" s="85">
        <v>3441</v>
      </c>
      <c r="AV60" s="85">
        <v>3467</v>
      </c>
      <c r="AW60" s="85">
        <v>3043</v>
      </c>
      <c r="AX60" s="86">
        <v>2605</v>
      </c>
      <c r="AY60" s="86">
        <v>3431</v>
      </c>
      <c r="AZ60" s="86">
        <v>2962</v>
      </c>
      <c r="BA60" s="86">
        <v>3191</v>
      </c>
      <c r="BB60" s="86">
        <v>2970</v>
      </c>
      <c r="BC60" s="86">
        <v>3603</v>
      </c>
      <c r="BD60" s="86">
        <v>3520</v>
      </c>
      <c r="BE60" s="86">
        <v>3810</v>
      </c>
      <c r="BF60" s="86">
        <v>3699</v>
      </c>
      <c r="BG60" s="86">
        <v>4514</v>
      </c>
      <c r="BH60" s="86">
        <v>4184</v>
      </c>
      <c r="BI60" s="86">
        <v>4575</v>
      </c>
      <c r="BJ60" s="86">
        <v>3651</v>
      </c>
      <c r="BK60" s="86">
        <v>4295</v>
      </c>
      <c r="BL60" s="86">
        <v>4325</v>
      </c>
      <c r="BM60" s="86">
        <v>4335</v>
      </c>
      <c r="BN60" s="86">
        <v>4370</v>
      </c>
      <c r="BO60" s="86">
        <v>3992</v>
      </c>
      <c r="BP60" s="86">
        <v>3842</v>
      </c>
      <c r="BQ60" s="86">
        <v>3152</v>
      </c>
      <c r="BR60" s="85">
        <v>3072</v>
      </c>
      <c r="BS60" s="85">
        <v>3254</v>
      </c>
      <c r="BT60" s="85">
        <v>3363</v>
      </c>
      <c r="BU60" s="85">
        <v>3136</v>
      </c>
      <c r="BV60" s="67">
        <v>12271</v>
      </c>
      <c r="BW60" s="67">
        <v>12697</v>
      </c>
      <c r="BX60" s="67">
        <v>10066</v>
      </c>
      <c r="BY60" s="67">
        <v>9753</v>
      </c>
      <c r="BZ60" s="68">
        <v>11938.189217758985</v>
      </c>
      <c r="CA60" s="68">
        <v>12183.177589852008</v>
      </c>
      <c r="CB60" s="68">
        <v>12428.165961945033</v>
      </c>
      <c r="CC60" s="68">
        <v>12673.154334038056</v>
      </c>
      <c r="CD60" s="68">
        <v>12918.142706131079</v>
      </c>
      <c r="CE60" s="68">
        <v>13163.131078224103</v>
      </c>
      <c r="CF60" s="68">
        <v>13408.119450317125</v>
      </c>
      <c r="CG60" s="68">
        <v>13653.107822410147</v>
      </c>
      <c r="CH60" s="87">
        <v>873100</v>
      </c>
      <c r="CI60" s="467">
        <v>882292</v>
      </c>
      <c r="CJ60" s="467">
        <v>889220.70199999958</v>
      </c>
      <c r="CK60" s="467">
        <v>897667.68900000001</v>
      </c>
      <c r="CL60" s="468">
        <v>906206.59799999907</v>
      </c>
      <c r="CM60" s="19" t="s">
        <v>227</v>
      </c>
      <c r="CN60" s="70">
        <v>1071</v>
      </c>
      <c r="CO60" s="70">
        <v>1164</v>
      </c>
      <c r="CP60" s="70">
        <v>1202</v>
      </c>
      <c r="CQ60" s="70">
        <v>1137</v>
      </c>
      <c r="CR60" s="70">
        <v>1064</v>
      </c>
      <c r="CS60" s="70">
        <v>1143</v>
      </c>
      <c r="CT60" s="70">
        <v>1263</v>
      </c>
      <c r="CU60" s="70">
        <v>1328</v>
      </c>
      <c r="CV60" s="70">
        <v>1469</v>
      </c>
      <c r="CW60" s="70">
        <v>1244</v>
      </c>
      <c r="CX60" s="70">
        <v>1185</v>
      </c>
      <c r="CY60" s="70">
        <v>1121</v>
      </c>
      <c r="CZ60" s="70">
        <v>1156</v>
      </c>
      <c r="DA60" s="70">
        <v>1223</v>
      </c>
      <c r="DB60" s="70">
        <v>1182</v>
      </c>
      <c r="DC60" s="70">
        <v>1185</v>
      </c>
      <c r="DD60" s="70">
        <v>1196</v>
      </c>
      <c r="DE60" s="70">
        <v>1199</v>
      </c>
      <c r="DF60" s="70">
        <v>1346</v>
      </c>
      <c r="DG60" s="70">
        <v>1391</v>
      </c>
      <c r="DH60" s="70">
        <v>1576</v>
      </c>
      <c r="DI60" s="70">
        <v>1476</v>
      </c>
      <c r="DJ60" s="70">
        <v>1284</v>
      </c>
      <c r="DK60" s="70">
        <v>1316</v>
      </c>
      <c r="DL60" s="46">
        <v>1337</v>
      </c>
      <c r="DM60" s="46">
        <v>1362</v>
      </c>
      <c r="DN60" s="46">
        <v>1220</v>
      </c>
      <c r="DO60" s="46">
        <v>1242</v>
      </c>
      <c r="DP60" s="46">
        <v>1180</v>
      </c>
      <c r="DQ60" s="46">
        <v>1186</v>
      </c>
      <c r="DR60" s="46">
        <v>1380</v>
      </c>
      <c r="DS60" s="46">
        <v>1463</v>
      </c>
      <c r="DT60" s="46">
        <v>1616</v>
      </c>
      <c r="DU60" s="46">
        <v>1430</v>
      </c>
      <c r="DV60" s="46">
        <v>1509</v>
      </c>
      <c r="DW60" s="46">
        <v>1405</v>
      </c>
      <c r="DX60" s="46">
        <v>1452</v>
      </c>
      <c r="DY60" s="46">
        <v>1509</v>
      </c>
      <c r="DZ60" s="46">
        <v>1481</v>
      </c>
      <c r="EA60" s="46">
        <v>1578</v>
      </c>
      <c r="EB60" s="46">
        <v>1383</v>
      </c>
      <c r="EC60" s="46">
        <v>1464</v>
      </c>
      <c r="ED60" s="46">
        <v>1574</v>
      </c>
      <c r="EE60" s="46">
        <v>1669</v>
      </c>
      <c r="EF60" s="46">
        <v>1832</v>
      </c>
      <c r="EG60" s="46">
        <v>1640</v>
      </c>
      <c r="EH60" s="46">
        <v>1527</v>
      </c>
      <c r="EI60" s="46">
        <v>1655</v>
      </c>
      <c r="EJ60" s="46">
        <v>1646</v>
      </c>
      <c r="EK60" s="46">
        <v>1541</v>
      </c>
      <c r="EL60" s="46">
        <v>1369</v>
      </c>
      <c r="EM60" s="46">
        <v>1492</v>
      </c>
      <c r="EN60" s="46">
        <v>1525</v>
      </c>
      <c r="EO60" s="46">
        <v>1483</v>
      </c>
      <c r="EP60" s="46">
        <v>1645</v>
      </c>
      <c r="EQ60" s="46">
        <v>1642</v>
      </c>
      <c r="ER60" s="46">
        <v>1991</v>
      </c>
      <c r="ES60" s="46">
        <v>1581</v>
      </c>
      <c r="ET60" s="46">
        <v>4822</v>
      </c>
      <c r="EU60" s="46">
        <v>4556</v>
      </c>
      <c r="EV60" s="46">
        <v>4500</v>
      </c>
      <c r="EW60" s="46">
        <v>5278</v>
      </c>
      <c r="EX60" s="71">
        <v>5109.7906733519958</v>
      </c>
      <c r="EY60" s="71">
        <v>5195.0604755606146</v>
      </c>
      <c r="EZ60" s="71">
        <v>5280.3302777692334</v>
      </c>
      <c r="FA60" s="71">
        <v>5365.6000799778521</v>
      </c>
      <c r="FB60" s="71">
        <v>5450.8698821864718</v>
      </c>
      <c r="FC60" s="71">
        <v>5536.1396843950915</v>
      </c>
      <c r="FD60" s="71">
        <v>5621.4094866037103</v>
      </c>
      <c r="FE60" s="71">
        <v>5706.6792888123291</v>
      </c>
      <c r="FF60" s="72">
        <v>1119824</v>
      </c>
      <c r="FG60" s="72">
        <v>1129096</v>
      </c>
      <c r="FH60" s="476">
        <v>1140706</v>
      </c>
      <c r="FI60" s="476">
        <v>1150545.294</v>
      </c>
      <c r="FJ60" s="476">
        <v>1161995.9670000002</v>
      </c>
      <c r="FK60" s="476">
        <v>1173932.1089999999</v>
      </c>
    </row>
    <row r="61" spans="1:167">
      <c r="A61" s="73" t="s">
        <v>922</v>
      </c>
      <c r="B61" s="19" t="s">
        <v>923</v>
      </c>
      <c r="C61" s="74" t="s">
        <v>706</v>
      </c>
      <c r="D61" s="75" t="s">
        <v>231</v>
      </c>
      <c r="E61" s="76">
        <v>235</v>
      </c>
      <c r="F61" s="77">
        <v>205</v>
      </c>
      <c r="G61" s="410">
        <v>100</v>
      </c>
      <c r="H61" s="78">
        <v>35410</v>
      </c>
      <c r="I61" s="77">
        <v>36655</v>
      </c>
      <c r="J61" s="410">
        <v>37557</v>
      </c>
      <c r="K61" s="410">
        <v>38168.974999999999</v>
      </c>
      <c r="L61" s="418">
        <v>38895.298000000003</v>
      </c>
      <c r="M61" s="79">
        <v>663.6</v>
      </c>
      <c r="N61" s="80">
        <v>553.79999999999995</v>
      </c>
      <c r="O61" s="421">
        <v>272.8</v>
      </c>
      <c r="P61" s="71">
        <v>197</v>
      </c>
      <c r="Q61" s="75" t="s">
        <v>231</v>
      </c>
      <c r="R61" s="81">
        <v>190</v>
      </c>
      <c r="S61" s="77">
        <v>60</v>
      </c>
      <c r="T61" s="452">
        <v>100</v>
      </c>
      <c r="U61" s="77">
        <v>225</v>
      </c>
      <c r="V61" s="77">
        <v>70</v>
      </c>
      <c r="W61" s="452">
        <v>120</v>
      </c>
      <c r="X61" s="82">
        <v>84.8</v>
      </c>
      <c r="Y61" s="83">
        <v>88.4</v>
      </c>
      <c r="Z61" s="443">
        <v>81.099999999999994</v>
      </c>
      <c r="AA61" s="63">
        <v>107</v>
      </c>
      <c r="AB61" s="63">
        <v>120</v>
      </c>
      <c r="AC61" s="19" t="s">
        <v>231</v>
      </c>
      <c r="AD61" s="84">
        <v>576</v>
      </c>
      <c r="AE61" s="85">
        <v>705</v>
      </c>
      <c r="AF61" s="85">
        <v>633</v>
      </c>
      <c r="AG61" s="85">
        <v>540</v>
      </c>
      <c r="AH61" s="85">
        <v>538</v>
      </c>
      <c r="AI61" s="85">
        <v>625</v>
      </c>
      <c r="AJ61" s="85">
        <v>635</v>
      </c>
      <c r="AK61" s="85">
        <v>429</v>
      </c>
      <c r="AL61" s="85">
        <v>544</v>
      </c>
      <c r="AM61" s="85">
        <v>563</v>
      </c>
      <c r="AN61" s="85">
        <v>612</v>
      </c>
      <c r="AO61" s="85">
        <v>532</v>
      </c>
      <c r="AP61" s="85">
        <v>647</v>
      </c>
      <c r="AQ61" s="85">
        <v>677</v>
      </c>
      <c r="AR61" s="85">
        <v>697</v>
      </c>
      <c r="AS61" s="85">
        <v>662</v>
      </c>
      <c r="AT61" s="85">
        <v>471</v>
      </c>
      <c r="AU61" s="85">
        <v>491</v>
      </c>
      <c r="AV61" s="85">
        <v>455</v>
      </c>
      <c r="AW61" s="85">
        <v>521</v>
      </c>
      <c r="AX61" s="86">
        <v>405</v>
      </c>
      <c r="AY61" s="86">
        <v>595</v>
      </c>
      <c r="AZ61" s="86">
        <v>561</v>
      </c>
      <c r="BA61" s="86">
        <v>446</v>
      </c>
      <c r="BB61" s="86">
        <v>362</v>
      </c>
      <c r="BC61" s="86">
        <v>237</v>
      </c>
      <c r="BD61" s="86">
        <v>219</v>
      </c>
      <c r="BE61" s="86">
        <v>260</v>
      </c>
      <c r="BF61" s="86">
        <v>495</v>
      </c>
      <c r="BG61" s="86">
        <v>622</v>
      </c>
      <c r="BH61" s="86">
        <v>665</v>
      </c>
      <c r="BI61" s="86">
        <v>616</v>
      </c>
      <c r="BJ61" s="86">
        <v>470</v>
      </c>
      <c r="BK61" s="86">
        <v>314</v>
      </c>
      <c r="BL61" s="86">
        <v>329</v>
      </c>
      <c r="BM61" s="86">
        <v>291</v>
      </c>
      <c r="BN61" s="86">
        <v>260</v>
      </c>
      <c r="BO61" s="86">
        <v>403</v>
      </c>
      <c r="BP61" s="86">
        <v>380</v>
      </c>
      <c r="BQ61" s="86">
        <v>362</v>
      </c>
      <c r="BR61" s="85">
        <v>341</v>
      </c>
      <c r="BS61" s="85">
        <v>226</v>
      </c>
      <c r="BT61" s="85">
        <v>142</v>
      </c>
      <c r="BU61" s="85">
        <v>148</v>
      </c>
      <c r="BV61" s="67">
        <v>1113</v>
      </c>
      <c r="BW61" s="67">
        <v>954</v>
      </c>
      <c r="BX61" s="67">
        <v>1083</v>
      </c>
      <c r="BY61" s="67">
        <v>516</v>
      </c>
      <c r="BZ61" s="68">
        <v>800.46025369978861</v>
      </c>
      <c r="CA61" s="68">
        <v>722.45517970401716</v>
      </c>
      <c r="CB61" s="68">
        <v>644.45010570824547</v>
      </c>
      <c r="CC61" s="68">
        <v>566.44503171247379</v>
      </c>
      <c r="CD61" s="68">
        <v>488.43995771670211</v>
      </c>
      <c r="CE61" s="68">
        <v>410.43488372093043</v>
      </c>
      <c r="CF61" s="68">
        <v>332.42980972515875</v>
      </c>
      <c r="CG61" s="68">
        <v>254.42473572938707</v>
      </c>
      <c r="CH61" s="87">
        <v>215800</v>
      </c>
      <c r="CI61" s="467">
        <v>219259</v>
      </c>
      <c r="CJ61" s="467">
        <v>222520.77899999992</v>
      </c>
      <c r="CK61" s="467">
        <v>225846.37100000004</v>
      </c>
      <c r="CL61" s="468">
        <v>229302.65300000005</v>
      </c>
      <c r="CM61" s="19" t="s">
        <v>231</v>
      </c>
      <c r="CN61" s="70">
        <v>425</v>
      </c>
      <c r="CO61" s="70">
        <v>430</v>
      </c>
      <c r="CP61" s="70">
        <v>422</v>
      </c>
      <c r="CQ61" s="70">
        <v>402</v>
      </c>
      <c r="CR61" s="70">
        <v>357</v>
      </c>
      <c r="CS61" s="70">
        <v>406</v>
      </c>
      <c r="CT61" s="70">
        <v>405</v>
      </c>
      <c r="CU61" s="70">
        <v>428</v>
      </c>
      <c r="CV61" s="70">
        <v>490</v>
      </c>
      <c r="CW61" s="70">
        <v>553</v>
      </c>
      <c r="CX61" s="70">
        <v>483</v>
      </c>
      <c r="CY61" s="70">
        <v>421</v>
      </c>
      <c r="CZ61" s="70">
        <v>468</v>
      </c>
      <c r="DA61" s="70">
        <v>414</v>
      </c>
      <c r="DB61" s="70">
        <v>389</v>
      </c>
      <c r="DC61" s="70">
        <v>419</v>
      </c>
      <c r="DD61" s="70">
        <v>418</v>
      </c>
      <c r="DE61" s="70">
        <v>361</v>
      </c>
      <c r="DF61" s="70">
        <v>387</v>
      </c>
      <c r="DG61" s="70">
        <v>441</v>
      </c>
      <c r="DH61" s="70">
        <v>556</v>
      </c>
      <c r="DI61" s="70">
        <v>444</v>
      </c>
      <c r="DJ61" s="70">
        <v>389</v>
      </c>
      <c r="DK61" s="70">
        <v>365</v>
      </c>
      <c r="DL61" s="46">
        <v>458</v>
      </c>
      <c r="DM61" s="46">
        <v>441</v>
      </c>
      <c r="DN61" s="46">
        <v>443</v>
      </c>
      <c r="DO61" s="46">
        <v>379</v>
      </c>
      <c r="DP61" s="46">
        <v>407</v>
      </c>
      <c r="DQ61" s="46">
        <v>438</v>
      </c>
      <c r="DR61" s="46">
        <v>444</v>
      </c>
      <c r="DS61" s="46">
        <v>447</v>
      </c>
      <c r="DT61" s="46">
        <v>530</v>
      </c>
      <c r="DU61" s="46">
        <v>505</v>
      </c>
      <c r="DV61" s="46">
        <v>499</v>
      </c>
      <c r="DW61" s="46">
        <v>477</v>
      </c>
      <c r="DX61" s="46">
        <v>444</v>
      </c>
      <c r="DY61" s="46">
        <v>440</v>
      </c>
      <c r="DZ61" s="46">
        <v>377</v>
      </c>
      <c r="EA61" s="46">
        <v>441</v>
      </c>
      <c r="EB61" s="46">
        <v>415</v>
      </c>
      <c r="EC61" s="46">
        <v>439</v>
      </c>
      <c r="ED61" s="46">
        <v>477</v>
      </c>
      <c r="EE61" s="46">
        <v>509</v>
      </c>
      <c r="EF61" s="46">
        <v>563</v>
      </c>
      <c r="EG61" s="46">
        <v>541</v>
      </c>
      <c r="EH61" s="46">
        <v>484</v>
      </c>
      <c r="EI61" s="46">
        <v>459</v>
      </c>
      <c r="EJ61" s="46">
        <v>490</v>
      </c>
      <c r="EK61" s="46">
        <v>466</v>
      </c>
      <c r="EL61" s="46">
        <v>414</v>
      </c>
      <c r="EM61" s="46">
        <v>454</v>
      </c>
      <c r="EN61" s="46">
        <v>416</v>
      </c>
      <c r="EO61" s="46">
        <v>475</v>
      </c>
      <c r="EP61" s="46">
        <v>466</v>
      </c>
      <c r="EQ61" s="46">
        <v>513</v>
      </c>
      <c r="ER61" s="46">
        <v>490</v>
      </c>
      <c r="ES61" s="46">
        <v>472</v>
      </c>
      <c r="ET61" s="46">
        <v>1484</v>
      </c>
      <c r="EU61" s="46">
        <v>1370</v>
      </c>
      <c r="EV61" s="46">
        <v>1345</v>
      </c>
      <c r="EW61" s="46">
        <v>1469</v>
      </c>
      <c r="EX61" s="71">
        <v>1450.5559691162448</v>
      </c>
      <c r="EY61" s="71">
        <v>1460.3823556553571</v>
      </c>
      <c r="EZ61" s="71">
        <v>1470.2087421944693</v>
      </c>
      <c r="FA61" s="71">
        <v>1480.0351287335814</v>
      </c>
      <c r="FB61" s="71">
        <v>1489.8615152726936</v>
      </c>
      <c r="FC61" s="71">
        <v>1499.6879018118061</v>
      </c>
      <c r="FD61" s="71">
        <v>1509.5142883509182</v>
      </c>
      <c r="FE61" s="71">
        <v>1519.3406748900304</v>
      </c>
      <c r="FF61" s="72">
        <v>275499</v>
      </c>
      <c r="FG61" s="72">
        <v>281756</v>
      </c>
      <c r="FH61" s="476">
        <v>286806</v>
      </c>
      <c r="FI61" s="476">
        <v>291094.821</v>
      </c>
      <c r="FJ61" s="476">
        <v>295704.09899999999</v>
      </c>
      <c r="FK61" s="476">
        <v>300395.071</v>
      </c>
    </row>
    <row r="62" spans="1:167">
      <c r="A62" s="73" t="s">
        <v>922</v>
      </c>
      <c r="B62" s="19" t="s">
        <v>923</v>
      </c>
      <c r="C62" s="74" t="s">
        <v>707</v>
      </c>
      <c r="D62" s="75" t="s">
        <v>234</v>
      </c>
      <c r="E62" s="76">
        <v>95</v>
      </c>
      <c r="F62" s="77">
        <v>185</v>
      </c>
      <c r="G62" s="410">
        <v>90</v>
      </c>
      <c r="H62" s="78">
        <v>27015</v>
      </c>
      <c r="I62" s="77">
        <v>27815</v>
      </c>
      <c r="J62" s="410">
        <v>28660</v>
      </c>
      <c r="K62" s="410">
        <v>29235.963999999993</v>
      </c>
      <c r="L62" s="418">
        <v>29945.340999999993</v>
      </c>
      <c r="M62" s="79">
        <v>344.3</v>
      </c>
      <c r="N62" s="80">
        <v>661.6</v>
      </c>
      <c r="O62" s="421">
        <v>316.39999999999998</v>
      </c>
      <c r="P62" s="71">
        <v>163</v>
      </c>
      <c r="Q62" s="75" t="s">
        <v>234</v>
      </c>
      <c r="R62" s="81">
        <v>35</v>
      </c>
      <c r="S62" s="77">
        <v>35</v>
      </c>
      <c r="T62" s="452">
        <v>165</v>
      </c>
      <c r="U62" s="77">
        <v>40</v>
      </c>
      <c r="V62" s="77">
        <v>35</v>
      </c>
      <c r="W62" s="452">
        <v>185</v>
      </c>
      <c r="X62" s="82">
        <v>92.5</v>
      </c>
      <c r="Y62" s="83">
        <v>91.9</v>
      </c>
      <c r="Z62" s="443">
        <v>89.7</v>
      </c>
      <c r="AA62" s="63">
        <v>33</v>
      </c>
      <c r="AB62" s="63">
        <v>35</v>
      </c>
      <c r="AC62" s="19" t="s">
        <v>234</v>
      </c>
      <c r="AD62" s="84">
        <v>469</v>
      </c>
      <c r="AE62" s="85">
        <v>592</v>
      </c>
      <c r="AF62" s="85">
        <v>503</v>
      </c>
      <c r="AG62" s="85">
        <v>506</v>
      </c>
      <c r="AH62" s="85">
        <v>380</v>
      </c>
      <c r="AI62" s="85">
        <v>476</v>
      </c>
      <c r="AJ62" s="85">
        <v>457</v>
      </c>
      <c r="AK62" s="85">
        <v>555</v>
      </c>
      <c r="AL62" s="85">
        <v>319</v>
      </c>
      <c r="AM62" s="85">
        <v>415</v>
      </c>
      <c r="AN62" s="85">
        <v>309</v>
      </c>
      <c r="AO62" s="85">
        <v>327</v>
      </c>
      <c r="AP62" s="85">
        <v>428</v>
      </c>
      <c r="AQ62" s="85">
        <v>297</v>
      </c>
      <c r="AR62" s="85">
        <v>180</v>
      </c>
      <c r="AS62" s="85">
        <v>228</v>
      </c>
      <c r="AT62" s="85">
        <v>199</v>
      </c>
      <c r="AU62" s="85">
        <v>260</v>
      </c>
      <c r="AV62" s="85">
        <v>293</v>
      </c>
      <c r="AW62" s="85">
        <v>324</v>
      </c>
      <c r="AX62" s="86">
        <v>266</v>
      </c>
      <c r="AY62" s="86">
        <v>388</v>
      </c>
      <c r="AZ62" s="86">
        <v>357</v>
      </c>
      <c r="BA62" s="86">
        <v>421</v>
      </c>
      <c r="BB62" s="86">
        <v>426</v>
      </c>
      <c r="BC62" s="86">
        <v>425</v>
      </c>
      <c r="BD62" s="86">
        <v>268</v>
      </c>
      <c r="BE62" s="86">
        <v>183</v>
      </c>
      <c r="BF62" s="86">
        <v>272</v>
      </c>
      <c r="BG62" s="86">
        <v>451</v>
      </c>
      <c r="BH62" s="86">
        <v>375</v>
      </c>
      <c r="BI62" s="86">
        <v>360</v>
      </c>
      <c r="BJ62" s="86">
        <v>418</v>
      </c>
      <c r="BK62" s="86">
        <v>402</v>
      </c>
      <c r="BL62" s="86">
        <v>490</v>
      </c>
      <c r="BM62" s="86">
        <v>498</v>
      </c>
      <c r="BN62" s="86">
        <v>500</v>
      </c>
      <c r="BO62" s="86">
        <v>476</v>
      </c>
      <c r="BP62" s="86">
        <v>503</v>
      </c>
      <c r="BQ62" s="86">
        <v>515</v>
      </c>
      <c r="BR62" s="85">
        <v>493</v>
      </c>
      <c r="BS62" s="85">
        <v>615</v>
      </c>
      <c r="BT62" s="85">
        <v>436</v>
      </c>
      <c r="BU62" s="85">
        <v>555</v>
      </c>
      <c r="BV62" s="67">
        <v>1310</v>
      </c>
      <c r="BW62" s="67">
        <v>1474</v>
      </c>
      <c r="BX62" s="67">
        <v>1511</v>
      </c>
      <c r="BY62" s="67">
        <v>1606</v>
      </c>
      <c r="BZ62" s="68">
        <v>1314.9126849894292</v>
      </c>
      <c r="CA62" s="68">
        <v>1329.4953488372093</v>
      </c>
      <c r="CB62" s="68">
        <v>1344.0780126849895</v>
      </c>
      <c r="CC62" s="68">
        <v>1358.6606765327697</v>
      </c>
      <c r="CD62" s="68">
        <v>1373.2433403805499</v>
      </c>
      <c r="CE62" s="68">
        <v>1387.8260042283298</v>
      </c>
      <c r="CF62" s="68">
        <v>1402.4086680761102</v>
      </c>
      <c r="CG62" s="68">
        <v>1416.9913319238901</v>
      </c>
      <c r="CH62" s="87">
        <v>199800</v>
      </c>
      <c r="CI62" s="467">
        <v>201963</v>
      </c>
      <c r="CJ62" s="467">
        <v>206800.84900000002</v>
      </c>
      <c r="CK62" s="467">
        <v>210101.99600000013</v>
      </c>
      <c r="CL62" s="468">
        <v>213487.03500000009</v>
      </c>
      <c r="CM62" s="19" t="s">
        <v>234</v>
      </c>
      <c r="CN62" s="70">
        <v>374</v>
      </c>
      <c r="CO62" s="70">
        <v>369</v>
      </c>
      <c r="CP62" s="70">
        <v>317</v>
      </c>
      <c r="CQ62" s="70">
        <v>356</v>
      </c>
      <c r="CR62" s="70">
        <v>280</v>
      </c>
      <c r="CS62" s="70">
        <v>321</v>
      </c>
      <c r="CT62" s="70">
        <v>315</v>
      </c>
      <c r="CU62" s="70">
        <v>362</v>
      </c>
      <c r="CV62" s="70">
        <v>396</v>
      </c>
      <c r="CW62" s="70">
        <v>390</v>
      </c>
      <c r="CX62" s="70">
        <v>335</v>
      </c>
      <c r="CY62" s="70">
        <v>325</v>
      </c>
      <c r="CZ62" s="70">
        <v>348</v>
      </c>
      <c r="DA62" s="70">
        <v>344</v>
      </c>
      <c r="DB62" s="70">
        <v>345</v>
      </c>
      <c r="DC62" s="70">
        <v>355</v>
      </c>
      <c r="DD62" s="70">
        <v>351</v>
      </c>
      <c r="DE62" s="70">
        <v>356</v>
      </c>
      <c r="DF62" s="70">
        <v>358</v>
      </c>
      <c r="DG62" s="70">
        <v>329</v>
      </c>
      <c r="DH62" s="70">
        <v>449</v>
      </c>
      <c r="DI62" s="70">
        <v>365</v>
      </c>
      <c r="DJ62" s="70">
        <v>290</v>
      </c>
      <c r="DK62" s="70">
        <v>344</v>
      </c>
      <c r="DL62" s="46">
        <v>362</v>
      </c>
      <c r="DM62" s="46">
        <v>367</v>
      </c>
      <c r="DN62" s="46">
        <v>314</v>
      </c>
      <c r="DO62" s="46">
        <v>315</v>
      </c>
      <c r="DP62" s="46">
        <v>325</v>
      </c>
      <c r="DQ62" s="46">
        <v>357</v>
      </c>
      <c r="DR62" s="46">
        <v>349</v>
      </c>
      <c r="DS62" s="46">
        <v>362</v>
      </c>
      <c r="DT62" s="46">
        <v>427</v>
      </c>
      <c r="DU62" s="46">
        <v>384</v>
      </c>
      <c r="DV62" s="46">
        <v>384</v>
      </c>
      <c r="DW62" s="46">
        <v>395</v>
      </c>
      <c r="DX62" s="46">
        <v>388</v>
      </c>
      <c r="DY62" s="46">
        <v>403</v>
      </c>
      <c r="DZ62" s="46">
        <v>394</v>
      </c>
      <c r="EA62" s="46">
        <v>373</v>
      </c>
      <c r="EB62" s="46">
        <v>382</v>
      </c>
      <c r="EC62" s="46">
        <v>350</v>
      </c>
      <c r="ED62" s="46">
        <v>383</v>
      </c>
      <c r="EE62" s="46">
        <v>353</v>
      </c>
      <c r="EF62" s="46">
        <v>450</v>
      </c>
      <c r="EG62" s="46">
        <v>419</v>
      </c>
      <c r="EH62" s="46">
        <v>374</v>
      </c>
      <c r="EI62" s="46">
        <v>363</v>
      </c>
      <c r="EJ62" s="46">
        <v>444</v>
      </c>
      <c r="EK62" s="46">
        <v>407</v>
      </c>
      <c r="EL62" s="46">
        <v>350</v>
      </c>
      <c r="EM62" s="46">
        <v>333</v>
      </c>
      <c r="EN62" s="46">
        <v>313</v>
      </c>
      <c r="EO62" s="46">
        <v>329</v>
      </c>
      <c r="EP62" s="46">
        <v>374</v>
      </c>
      <c r="EQ62" s="46">
        <v>376</v>
      </c>
      <c r="ER62" s="46">
        <v>413</v>
      </c>
      <c r="ES62" s="46">
        <v>391</v>
      </c>
      <c r="ET62" s="46">
        <v>1156</v>
      </c>
      <c r="EU62" s="46">
        <v>1201</v>
      </c>
      <c r="EV62" s="46">
        <v>975</v>
      </c>
      <c r="EW62" s="46">
        <v>1163</v>
      </c>
      <c r="EX62" s="71">
        <v>1168.6509274354794</v>
      </c>
      <c r="EY62" s="71">
        <v>1175.8935064136085</v>
      </c>
      <c r="EZ62" s="71">
        <v>1183.1360853917374</v>
      </c>
      <c r="FA62" s="71">
        <v>1190.3786643698668</v>
      </c>
      <c r="FB62" s="71">
        <v>1197.6212433479959</v>
      </c>
      <c r="FC62" s="71">
        <v>1204.863822326125</v>
      </c>
      <c r="FD62" s="71">
        <v>1212.1064013042542</v>
      </c>
      <c r="FE62" s="71">
        <v>1219.3489802823833</v>
      </c>
      <c r="FF62" s="72">
        <v>254927</v>
      </c>
      <c r="FG62" s="72">
        <v>259052</v>
      </c>
      <c r="FH62" s="476">
        <v>262407</v>
      </c>
      <c r="FI62" s="476">
        <v>267802.98800000001</v>
      </c>
      <c r="FJ62" s="476">
        <v>272048.71299999999</v>
      </c>
      <c r="FK62" s="476">
        <v>276453.74</v>
      </c>
    </row>
    <row r="63" spans="1:167">
      <c r="A63" s="73" t="s">
        <v>915</v>
      </c>
      <c r="B63" s="19" t="s">
        <v>916</v>
      </c>
      <c r="C63" s="74" t="s">
        <v>708</v>
      </c>
      <c r="D63" s="75" t="s">
        <v>238</v>
      </c>
      <c r="E63" s="76">
        <v>285</v>
      </c>
      <c r="F63" s="77">
        <v>395</v>
      </c>
      <c r="G63" s="410">
        <v>290</v>
      </c>
      <c r="H63" s="78">
        <v>33245</v>
      </c>
      <c r="I63" s="77">
        <v>34545</v>
      </c>
      <c r="J63" s="410">
        <v>35362</v>
      </c>
      <c r="K63" s="410">
        <v>36323.858999999997</v>
      </c>
      <c r="L63" s="418">
        <v>37040.044000000002</v>
      </c>
      <c r="M63" s="79">
        <v>854.3</v>
      </c>
      <c r="N63" s="80">
        <v>1137.7</v>
      </c>
      <c r="O63" s="421">
        <v>839.5</v>
      </c>
      <c r="P63" s="71">
        <v>387.75</v>
      </c>
      <c r="Q63" s="75" t="s">
        <v>238</v>
      </c>
      <c r="R63" s="81">
        <v>155</v>
      </c>
      <c r="S63" s="77">
        <v>130</v>
      </c>
      <c r="T63" s="452">
        <v>40</v>
      </c>
      <c r="U63" s="77">
        <v>185</v>
      </c>
      <c r="V63" s="77">
        <v>165</v>
      </c>
      <c r="W63" s="452">
        <v>40</v>
      </c>
      <c r="X63" s="82">
        <v>85.3</v>
      </c>
      <c r="Y63" s="83">
        <v>79.8</v>
      </c>
      <c r="Z63" s="443">
        <v>95.2</v>
      </c>
      <c r="AA63" s="63">
        <v>141.69999999999999</v>
      </c>
      <c r="AB63" s="63">
        <v>163</v>
      </c>
      <c r="AC63" s="19" t="s">
        <v>238</v>
      </c>
      <c r="AD63" s="84">
        <v>4</v>
      </c>
      <c r="AE63" s="85">
        <v>29</v>
      </c>
      <c r="AF63" s="85">
        <v>16</v>
      </c>
      <c r="AG63" s="85">
        <v>2</v>
      </c>
      <c r="AH63" s="85">
        <v>0</v>
      </c>
      <c r="AI63" s="85">
        <v>5</v>
      </c>
      <c r="AJ63" s="85">
        <v>0</v>
      </c>
      <c r="AK63" s="85">
        <v>18</v>
      </c>
      <c r="AL63" s="85">
        <v>0</v>
      </c>
      <c r="AM63" s="85">
        <v>0</v>
      </c>
      <c r="AN63" s="85">
        <v>3</v>
      </c>
      <c r="AO63" s="85">
        <v>0</v>
      </c>
      <c r="AP63" s="85">
        <v>12</v>
      </c>
      <c r="AQ63" s="85">
        <v>0</v>
      </c>
      <c r="AR63" s="85">
        <v>3</v>
      </c>
      <c r="AS63" s="85">
        <v>0</v>
      </c>
      <c r="AT63" s="85">
        <v>20</v>
      </c>
      <c r="AU63" s="85">
        <v>0</v>
      </c>
      <c r="AV63" s="85">
        <v>10</v>
      </c>
      <c r="AW63" s="85">
        <v>33</v>
      </c>
      <c r="AX63" s="86">
        <v>7</v>
      </c>
      <c r="AY63" s="86">
        <v>0</v>
      </c>
      <c r="AZ63" s="86">
        <v>22</v>
      </c>
      <c r="BA63" s="86">
        <v>9</v>
      </c>
      <c r="BB63" s="86">
        <v>0</v>
      </c>
      <c r="BC63" s="86">
        <v>20</v>
      </c>
      <c r="BD63" s="86">
        <v>16</v>
      </c>
      <c r="BE63" s="86">
        <v>0</v>
      </c>
      <c r="BF63" s="86">
        <v>4</v>
      </c>
      <c r="BG63" s="86">
        <v>0</v>
      </c>
      <c r="BH63" s="86">
        <v>9</v>
      </c>
      <c r="BI63" s="86">
        <v>0</v>
      </c>
      <c r="BJ63" s="86">
        <v>0</v>
      </c>
      <c r="BK63" s="86">
        <v>10</v>
      </c>
      <c r="BL63" s="86">
        <v>11</v>
      </c>
      <c r="BM63" s="95">
        <v>0</v>
      </c>
      <c r="BN63" s="86">
        <v>4</v>
      </c>
      <c r="BO63" s="86">
        <v>15</v>
      </c>
      <c r="BP63" s="86">
        <v>20</v>
      </c>
      <c r="BQ63" s="86">
        <v>243</v>
      </c>
      <c r="BR63" s="85">
        <v>480</v>
      </c>
      <c r="BS63" s="85">
        <v>148</v>
      </c>
      <c r="BT63" s="85">
        <v>286</v>
      </c>
      <c r="BU63" s="85">
        <v>330</v>
      </c>
      <c r="BV63" s="67">
        <v>21</v>
      </c>
      <c r="BW63" s="67">
        <v>19</v>
      </c>
      <c r="BX63" s="67">
        <v>743</v>
      </c>
      <c r="BY63" s="67">
        <v>764</v>
      </c>
      <c r="BZ63" s="68">
        <v>403.54503171247359</v>
      </c>
      <c r="CA63" s="68">
        <v>439.48985200845664</v>
      </c>
      <c r="CB63" s="68">
        <v>475.43467230443969</v>
      </c>
      <c r="CC63" s="68">
        <v>511.37949260042291</v>
      </c>
      <c r="CD63" s="68">
        <v>547.3243128964059</v>
      </c>
      <c r="CE63" s="68">
        <v>583.26913319238906</v>
      </c>
      <c r="CF63" s="68">
        <v>619.213953488372</v>
      </c>
      <c r="CG63" s="68">
        <v>655.15877378435528</v>
      </c>
      <c r="CH63" s="87">
        <v>112800</v>
      </c>
      <c r="CI63" s="467">
        <v>112702</v>
      </c>
      <c r="CJ63" s="467">
        <v>113893.39399999997</v>
      </c>
      <c r="CK63" s="467">
        <v>114550.65299999999</v>
      </c>
      <c r="CL63" s="468">
        <v>115106.086</v>
      </c>
      <c r="CM63" s="19" t="s">
        <v>238</v>
      </c>
      <c r="CN63" s="70">
        <v>188</v>
      </c>
      <c r="CO63" s="70">
        <v>194</v>
      </c>
      <c r="CP63" s="70">
        <v>174</v>
      </c>
      <c r="CQ63" s="70">
        <v>165</v>
      </c>
      <c r="CR63" s="70">
        <v>130</v>
      </c>
      <c r="CS63" s="70">
        <v>157</v>
      </c>
      <c r="CT63" s="70">
        <v>144</v>
      </c>
      <c r="CU63" s="70">
        <v>140</v>
      </c>
      <c r="CV63" s="70">
        <v>143</v>
      </c>
      <c r="CW63" s="70">
        <v>126</v>
      </c>
      <c r="CX63" s="70">
        <v>159</v>
      </c>
      <c r="CY63" s="70">
        <v>138</v>
      </c>
      <c r="CZ63" s="70">
        <v>160</v>
      </c>
      <c r="DA63" s="70">
        <v>151</v>
      </c>
      <c r="DB63" s="70">
        <v>116</v>
      </c>
      <c r="DC63" s="70">
        <v>132</v>
      </c>
      <c r="DD63" s="70">
        <v>137</v>
      </c>
      <c r="DE63" s="70">
        <v>138</v>
      </c>
      <c r="DF63" s="70">
        <v>138</v>
      </c>
      <c r="DG63" s="70">
        <v>171</v>
      </c>
      <c r="DH63" s="70">
        <v>198</v>
      </c>
      <c r="DI63" s="70">
        <v>190</v>
      </c>
      <c r="DJ63" s="70">
        <v>192</v>
      </c>
      <c r="DK63" s="70">
        <v>188</v>
      </c>
      <c r="DL63" s="46">
        <v>174</v>
      </c>
      <c r="DM63" s="46">
        <v>155</v>
      </c>
      <c r="DN63" s="46">
        <v>136</v>
      </c>
      <c r="DO63" s="46">
        <v>147</v>
      </c>
      <c r="DP63" s="46">
        <v>141</v>
      </c>
      <c r="DQ63" s="46">
        <v>119</v>
      </c>
      <c r="DR63" s="46">
        <v>162</v>
      </c>
      <c r="DS63" s="46">
        <v>177</v>
      </c>
      <c r="DT63" s="46">
        <v>230</v>
      </c>
      <c r="DU63" s="46">
        <v>155</v>
      </c>
      <c r="DV63" s="46">
        <v>169</v>
      </c>
      <c r="DW63" s="46">
        <v>168</v>
      </c>
      <c r="DX63" s="46">
        <v>154</v>
      </c>
      <c r="DY63" s="46">
        <v>164</v>
      </c>
      <c r="DZ63" s="46">
        <v>126</v>
      </c>
      <c r="EA63" s="46">
        <v>147</v>
      </c>
      <c r="EB63" s="46">
        <v>108</v>
      </c>
      <c r="EC63" s="46">
        <v>142</v>
      </c>
      <c r="ED63" s="46">
        <v>142</v>
      </c>
      <c r="EE63" s="46">
        <v>132</v>
      </c>
      <c r="EF63" s="46">
        <v>191</v>
      </c>
      <c r="EG63" s="46">
        <v>144</v>
      </c>
      <c r="EH63" s="46">
        <v>206</v>
      </c>
      <c r="EI63" s="46">
        <v>219</v>
      </c>
      <c r="EJ63" s="46">
        <v>185</v>
      </c>
      <c r="EK63" s="46">
        <v>192</v>
      </c>
      <c r="EL63" s="46">
        <v>151</v>
      </c>
      <c r="EM63" s="46">
        <v>137</v>
      </c>
      <c r="EN63" s="46">
        <v>156</v>
      </c>
      <c r="EO63" s="46">
        <v>112</v>
      </c>
      <c r="EP63" s="46">
        <v>160</v>
      </c>
      <c r="EQ63" s="46">
        <v>145</v>
      </c>
      <c r="ER63" s="46">
        <v>204</v>
      </c>
      <c r="ES63" s="46">
        <v>112</v>
      </c>
      <c r="ET63" s="46">
        <v>569</v>
      </c>
      <c r="EU63" s="46">
        <v>528</v>
      </c>
      <c r="EV63" s="46">
        <v>405</v>
      </c>
      <c r="EW63" s="46">
        <v>509</v>
      </c>
      <c r="EX63" s="71">
        <v>477.46067242917354</v>
      </c>
      <c r="EY63" s="71">
        <v>477.93767879664102</v>
      </c>
      <c r="EZ63" s="71">
        <v>478.41468516410845</v>
      </c>
      <c r="FA63" s="71">
        <v>478.89169153157593</v>
      </c>
      <c r="FB63" s="71">
        <v>479.36869789904335</v>
      </c>
      <c r="FC63" s="71">
        <v>479.84570426651089</v>
      </c>
      <c r="FD63" s="71">
        <v>480.32271063397832</v>
      </c>
      <c r="FE63" s="71">
        <v>480.79971700144586</v>
      </c>
      <c r="FF63" s="72">
        <v>138392</v>
      </c>
      <c r="FG63" s="72">
        <v>138748</v>
      </c>
      <c r="FH63" s="476">
        <v>138393</v>
      </c>
      <c r="FI63" s="476">
        <v>139483.76999999999</v>
      </c>
      <c r="FJ63" s="476">
        <v>139957.22700000001</v>
      </c>
      <c r="FK63" s="476">
        <v>140483.74100000001</v>
      </c>
    </row>
    <row r="64" spans="1:167">
      <c r="A64" s="73" t="s">
        <v>933</v>
      </c>
      <c r="B64" s="19" t="s">
        <v>934</v>
      </c>
      <c r="C64" s="74" t="s">
        <v>709</v>
      </c>
      <c r="D64" s="75" t="s">
        <v>241</v>
      </c>
      <c r="E64" s="76">
        <v>0</v>
      </c>
      <c r="F64" s="77">
        <v>0</v>
      </c>
      <c r="G64" s="410">
        <v>0</v>
      </c>
      <c r="H64" s="78">
        <v>515</v>
      </c>
      <c r="I64" s="77">
        <v>545</v>
      </c>
      <c r="J64" s="410">
        <v>549</v>
      </c>
      <c r="K64" s="410">
        <v>551.54899999999998</v>
      </c>
      <c r="L64" s="418">
        <v>554.95399999999995</v>
      </c>
      <c r="M64" s="79">
        <v>0</v>
      </c>
      <c r="N64" s="80">
        <v>0</v>
      </c>
      <c r="O64" s="421">
        <v>0</v>
      </c>
      <c r="P64" s="71">
        <v>0</v>
      </c>
      <c r="Q64" s="75" t="s">
        <v>241</v>
      </c>
      <c r="R64" s="81">
        <v>0</v>
      </c>
      <c r="S64" s="77">
        <v>0</v>
      </c>
      <c r="T64" s="452">
        <v>0</v>
      </c>
      <c r="U64" s="77">
        <v>0</v>
      </c>
      <c r="V64" s="77">
        <v>0</v>
      </c>
      <c r="W64" s="452">
        <v>5</v>
      </c>
      <c r="X64" s="82">
        <v>0</v>
      </c>
      <c r="Y64" s="83">
        <v>0</v>
      </c>
      <c r="Z64" s="443">
        <v>0</v>
      </c>
      <c r="AA64" s="63">
        <v>0</v>
      </c>
      <c r="AB64" s="63">
        <v>0</v>
      </c>
      <c r="AC64" s="19" t="s">
        <v>241</v>
      </c>
      <c r="AD64" s="84"/>
      <c r="AE64" s="85"/>
      <c r="AF64" s="85"/>
      <c r="AG64" s="85"/>
      <c r="AH64" s="85"/>
      <c r="AI64" s="85"/>
      <c r="AJ64" s="85"/>
      <c r="AK64" s="85"/>
      <c r="AL64" s="96"/>
      <c r="AM64" s="96"/>
      <c r="AN64" s="96"/>
      <c r="AO64" s="96"/>
      <c r="AP64" s="96"/>
      <c r="AQ64" s="96"/>
      <c r="AR64" s="96"/>
      <c r="AS64" s="96"/>
      <c r="AT64" s="96"/>
      <c r="AU64" s="96"/>
      <c r="AV64" s="96"/>
      <c r="AW64" s="96"/>
      <c r="AX64" s="97"/>
      <c r="AY64" s="97"/>
      <c r="AZ64" s="97"/>
      <c r="BA64" s="97"/>
      <c r="BB64" s="97"/>
      <c r="BC64" s="97"/>
      <c r="BD64" s="87"/>
      <c r="BE64" s="87"/>
      <c r="BF64" s="87"/>
      <c r="BG64" s="87"/>
      <c r="BH64" s="87"/>
      <c r="BI64" s="87"/>
      <c r="BJ64" s="87"/>
      <c r="BK64" s="87"/>
      <c r="BL64" s="87"/>
      <c r="BM64" s="87"/>
      <c r="BN64" s="87"/>
      <c r="BO64" s="87"/>
      <c r="BP64" s="87"/>
      <c r="BQ64" s="87"/>
      <c r="BR64" s="96"/>
      <c r="BS64" s="96"/>
      <c r="BT64" s="96"/>
      <c r="BU64" s="96"/>
      <c r="BV64" s="67">
        <v>0</v>
      </c>
      <c r="BW64" s="67">
        <v>0</v>
      </c>
      <c r="BX64" s="67">
        <v>0</v>
      </c>
      <c r="BY64" s="67">
        <v>0</v>
      </c>
      <c r="BZ64" s="68">
        <v>0</v>
      </c>
      <c r="CA64" s="68">
        <v>0</v>
      </c>
      <c r="CB64" s="68">
        <v>0</v>
      </c>
      <c r="CC64" s="68">
        <v>0</v>
      </c>
      <c r="CD64" s="68">
        <v>0</v>
      </c>
      <c r="CE64" s="68">
        <v>0</v>
      </c>
      <c r="CF64" s="68">
        <v>0</v>
      </c>
      <c r="CG64" s="68">
        <v>0</v>
      </c>
      <c r="CH64" s="87">
        <v>1900</v>
      </c>
      <c r="CI64" s="467">
        <v>1876</v>
      </c>
      <c r="CJ64" s="467">
        <v>1828.3200000000002</v>
      </c>
      <c r="CK64" s="467">
        <v>1804.2909999999999</v>
      </c>
      <c r="CL64" s="468">
        <v>1786.1070000000002</v>
      </c>
      <c r="CM64" s="19" t="s">
        <v>241</v>
      </c>
      <c r="CN64" s="70">
        <v>7</v>
      </c>
      <c r="CO64" s="70">
        <v>8</v>
      </c>
      <c r="CP64" s="70">
        <v>4</v>
      </c>
      <c r="CQ64" s="70">
        <v>5</v>
      </c>
      <c r="CR64" s="70">
        <v>4</v>
      </c>
      <c r="CS64" s="70">
        <v>4</v>
      </c>
      <c r="CT64" s="70">
        <v>4</v>
      </c>
      <c r="CU64" s="70">
        <v>4</v>
      </c>
      <c r="CV64" s="70">
        <v>4</v>
      </c>
      <c r="CW64" s="70">
        <v>8</v>
      </c>
      <c r="CX64" s="70">
        <v>3</v>
      </c>
      <c r="CY64" s="70">
        <v>0</v>
      </c>
      <c r="CZ64" s="70">
        <v>2</v>
      </c>
      <c r="DA64" s="70">
        <v>3</v>
      </c>
      <c r="DB64" s="70">
        <v>3</v>
      </c>
      <c r="DC64" s="70">
        <v>2</v>
      </c>
      <c r="DD64" s="70">
        <v>4</v>
      </c>
      <c r="DE64" s="70">
        <v>3</v>
      </c>
      <c r="DF64" s="70">
        <v>3</v>
      </c>
      <c r="DG64" s="70">
        <v>0</v>
      </c>
      <c r="DH64" s="70">
        <v>5</v>
      </c>
      <c r="DI64" s="70">
        <v>2</v>
      </c>
      <c r="DJ64" s="70">
        <v>3</v>
      </c>
      <c r="DK64" s="70">
        <v>5</v>
      </c>
      <c r="DL64" s="46">
        <v>5</v>
      </c>
      <c r="DM64" s="46">
        <v>1</v>
      </c>
      <c r="DN64" s="46">
        <v>4</v>
      </c>
      <c r="DO64" s="46">
        <v>5</v>
      </c>
      <c r="DP64" s="46">
        <v>6</v>
      </c>
      <c r="DQ64" s="46">
        <v>0</v>
      </c>
      <c r="DR64" s="46">
        <v>1</v>
      </c>
      <c r="DS64" s="46">
        <v>3</v>
      </c>
      <c r="DT64" s="46">
        <v>6</v>
      </c>
      <c r="DU64" s="46">
        <v>2</v>
      </c>
      <c r="DV64" s="46">
        <v>6</v>
      </c>
      <c r="DW64" s="46">
        <v>2</v>
      </c>
      <c r="DX64" s="46">
        <v>2</v>
      </c>
      <c r="DY64" s="46">
        <v>3</v>
      </c>
      <c r="DZ64" s="46">
        <v>3</v>
      </c>
      <c r="EA64" s="46">
        <v>2</v>
      </c>
      <c r="EB64" s="46">
        <v>3</v>
      </c>
      <c r="EC64" s="46">
        <v>0</v>
      </c>
      <c r="ED64" s="46">
        <v>7</v>
      </c>
      <c r="EE64" s="46">
        <v>3</v>
      </c>
      <c r="EF64" s="46">
        <v>3</v>
      </c>
      <c r="EG64" s="46">
        <v>4</v>
      </c>
      <c r="EH64" s="46">
        <v>5</v>
      </c>
      <c r="EI64" s="46">
        <v>5</v>
      </c>
      <c r="EJ64" s="46">
        <v>2</v>
      </c>
      <c r="EK64" s="46">
        <v>3</v>
      </c>
      <c r="EL64" s="46">
        <v>5</v>
      </c>
      <c r="EM64" s="46">
        <v>3</v>
      </c>
      <c r="EN64" s="46">
        <v>3</v>
      </c>
      <c r="EO64" s="46">
        <v>3</v>
      </c>
      <c r="EP64" s="46">
        <v>7</v>
      </c>
      <c r="EQ64" s="46">
        <v>6</v>
      </c>
      <c r="ER64" s="46">
        <v>5</v>
      </c>
      <c r="ES64" s="46">
        <v>5</v>
      </c>
      <c r="ET64" s="46">
        <v>14</v>
      </c>
      <c r="EU64" s="46">
        <v>10</v>
      </c>
      <c r="EV64" s="46">
        <v>9</v>
      </c>
      <c r="EW64" s="46">
        <v>18</v>
      </c>
      <c r="EX64" s="71">
        <v>10.690331908086993</v>
      </c>
      <c r="EY64" s="71">
        <v>10.660155649204839</v>
      </c>
      <c r="EZ64" s="71">
        <v>10.629979390322681</v>
      </c>
      <c r="FA64" s="71">
        <v>10.599803131440527</v>
      </c>
      <c r="FB64" s="71">
        <v>10.56962687255837</v>
      </c>
      <c r="FC64" s="71">
        <v>10.539450613676216</v>
      </c>
      <c r="FD64" s="71">
        <v>10.509274354794059</v>
      </c>
      <c r="FE64" s="71">
        <v>10.479098095911905</v>
      </c>
      <c r="FF64" s="72">
        <v>2224</v>
      </c>
      <c r="FG64" s="72">
        <v>2264</v>
      </c>
      <c r="FH64" s="476">
        <v>2251</v>
      </c>
      <c r="FI64" s="476">
        <v>2197.7139999999999</v>
      </c>
      <c r="FJ64" s="476">
        <v>2175.1439999999998</v>
      </c>
      <c r="FK64" s="476">
        <v>2156.89</v>
      </c>
    </row>
    <row r="65" spans="1:167">
      <c r="A65" s="73" t="s">
        <v>899</v>
      </c>
      <c r="B65" s="19" t="s">
        <v>900</v>
      </c>
      <c r="C65" s="74" t="s">
        <v>710</v>
      </c>
      <c r="D65" s="75" t="s">
        <v>245</v>
      </c>
      <c r="E65" s="76">
        <v>160</v>
      </c>
      <c r="F65" s="77">
        <v>115</v>
      </c>
      <c r="G65" s="410">
        <v>130</v>
      </c>
      <c r="H65" s="78">
        <v>18095</v>
      </c>
      <c r="I65" s="77">
        <v>18620</v>
      </c>
      <c r="J65" s="410">
        <v>19164</v>
      </c>
      <c r="K65" s="410">
        <v>19302.144000000004</v>
      </c>
      <c r="L65" s="418">
        <v>19550.713000000003</v>
      </c>
      <c r="M65" s="79">
        <v>889.7</v>
      </c>
      <c r="N65" s="80">
        <v>606.9</v>
      </c>
      <c r="O65" s="421">
        <v>698.2</v>
      </c>
      <c r="P65" s="71">
        <v>115</v>
      </c>
      <c r="Q65" s="75" t="s">
        <v>245</v>
      </c>
      <c r="R65" s="81">
        <v>155</v>
      </c>
      <c r="S65" s="77">
        <v>290</v>
      </c>
      <c r="T65" s="452">
        <v>175</v>
      </c>
      <c r="U65" s="77">
        <v>175</v>
      </c>
      <c r="V65" s="77">
        <v>300</v>
      </c>
      <c r="W65" s="452">
        <v>195</v>
      </c>
      <c r="X65" s="82">
        <v>89</v>
      </c>
      <c r="Y65" s="83">
        <v>96.7</v>
      </c>
      <c r="Z65" s="443">
        <v>91.2</v>
      </c>
      <c r="AA65" s="63">
        <v>294</v>
      </c>
      <c r="AB65" s="63">
        <v>300</v>
      </c>
      <c r="AC65" s="19" t="s">
        <v>245</v>
      </c>
      <c r="AD65" s="84">
        <v>234</v>
      </c>
      <c r="AE65" s="85">
        <v>121</v>
      </c>
      <c r="AF65" s="85">
        <v>83</v>
      </c>
      <c r="AG65" s="85">
        <v>123</v>
      </c>
      <c r="AH65" s="85">
        <v>152</v>
      </c>
      <c r="AI65" s="85">
        <v>170</v>
      </c>
      <c r="AJ65" s="85">
        <v>170</v>
      </c>
      <c r="AK65" s="85">
        <v>165</v>
      </c>
      <c r="AL65" s="96">
        <v>202</v>
      </c>
      <c r="AM65" s="96">
        <v>181</v>
      </c>
      <c r="AN65" s="96">
        <v>49</v>
      </c>
      <c r="AO65" s="96">
        <v>133</v>
      </c>
      <c r="AP65" s="96">
        <v>198</v>
      </c>
      <c r="AQ65" s="96">
        <v>223</v>
      </c>
      <c r="AR65" s="96">
        <v>163</v>
      </c>
      <c r="AS65" s="96">
        <v>129</v>
      </c>
      <c r="AT65" s="96">
        <v>61</v>
      </c>
      <c r="AU65" s="96">
        <v>83</v>
      </c>
      <c r="AV65" s="96">
        <v>143</v>
      </c>
      <c r="AW65" s="96">
        <v>216</v>
      </c>
      <c r="AX65" s="97">
        <v>90</v>
      </c>
      <c r="AY65" s="97">
        <v>125</v>
      </c>
      <c r="AZ65" s="97">
        <v>86</v>
      </c>
      <c r="BA65" s="97">
        <v>141</v>
      </c>
      <c r="BB65" s="97">
        <v>162</v>
      </c>
      <c r="BC65" s="97">
        <v>107</v>
      </c>
      <c r="BD65" s="87">
        <v>162</v>
      </c>
      <c r="BE65" s="87">
        <v>139</v>
      </c>
      <c r="BF65" s="87">
        <v>77</v>
      </c>
      <c r="BG65" s="87">
        <v>109</v>
      </c>
      <c r="BH65" s="87">
        <v>118</v>
      </c>
      <c r="BI65" s="87">
        <v>229</v>
      </c>
      <c r="BJ65" s="87">
        <v>305</v>
      </c>
      <c r="BK65" s="87">
        <v>224</v>
      </c>
      <c r="BL65" s="87">
        <v>179</v>
      </c>
      <c r="BM65" s="87">
        <v>276</v>
      </c>
      <c r="BN65" s="87">
        <v>249</v>
      </c>
      <c r="BO65" s="87">
        <v>333</v>
      </c>
      <c r="BP65" s="87">
        <v>309</v>
      </c>
      <c r="BQ65" s="87">
        <v>239</v>
      </c>
      <c r="BR65" s="96">
        <v>103</v>
      </c>
      <c r="BS65" s="96">
        <v>130</v>
      </c>
      <c r="BT65" s="96">
        <v>128</v>
      </c>
      <c r="BU65" s="96">
        <v>185</v>
      </c>
      <c r="BV65" s="67">
        <v>708</v>
      </c>
      <c r="BW65" s="67">
        <v>858</v>
      </c>
      <c r="BX65" s="67">
        <v>651</v>
      </c>
      <c r="BY65" s="67">
        <v>443</v>
      </c>
      <c r="BZ65" s="68">
        <v>602.75961945031713</v>
      </c>
      <c r="CA65" s="68">
        <v>617.0035940803383</v>
      </c>
      <c r="CB65" s="68">
        <v>631.24756871035936</v>
      </c>
      <c r="CC65" s="68">
        <v>645.49154334038053</v>
      </c>
      <c r="CD65" s="68">
        <v>659.7355179704017</v>
      </c>
      <c r="CE65" s="68">
        <v>673.97949260042287</v>
      </c>
      <c r="CF65" s="68">
        <v>688.22346723044393</v>
      </c>
      <c r="CG65" s="68">
        <v>702.46744186046499</v>
      </c>
      <c r="CH65" s="87">
        <v>173600</v>
      </c>
      <c r="CI65" s="467">
        <v>177322</v>
      </c>
      <c r="CJ65" s="467">
        <v>181159.65400000001</v>
      </c>
      <c r="CK65" s="467">
        <v>184574.71999999991</v>
      </c>
      <c r="CL65" s="468">
        <v>188045.16599999997</v>
      </c>
      <c r="CM65" s="19" t="s">
        <v>245</v>
      </c>
      <c r="CN65" s="70">
        <v>255</v>
      </c>
      <c r="CO65" s="70">
        <v>268</v>
      </c>
      <c r="CP65" s="70">
        <v>290</v>
      </c>
      <c r="CQ65" s="70">
        <v>278</v>
      </c>
      <c r="CR65" s="70">
        <v>281</v>
      </c>
      <c r="CS65" s="70">
        <v>282</v>
      </c>
      <c r="CT65" s="70">
        <v>306</v>
      </c>
      <c r="CU65" s="70">
        <v>336</v>
      </c>
      <c r="CV65" s="70">
        <v>340</v>
      </c>
      <c r="CW65" s="70">
        <v>337</v>
      </c>
      <c r="CX65" s="70">
        <v>290</v>
      </c>
      <c r="CY65" s="70">
        <v>296</v>
      </c>
      <c r="CZ65" s="70">
        <v>294</v>
      </c>
      <c r="DA65" s="70">
        <v>314</v>
      </c>
      <c r="DB65" s="70">
        <v>272</v>
      </c>
      <c r="DC65" s="70">
        <v>283</v>
      </c>
      <c r="DD65" s="70">
        <v>266</v>
      </c>
      <c r="DE65" s="70">
        <v>300</v>
      </c>
      <c r="DF65" s="70">
        <v>350</v>
      </c>
      <c r="DG65" s="70">
        <v>327</v>
      </c>
      <c r="DH65" s="70">
        <v>427</v>
      </c>
      <c r="DI65" s="70">
        <v>349</v>
      </c>
      <c r="DJ65" s="70">
        <v>320</v>
      </c>
      <c r="DK65" s="70">
        <v>310</v>
      </c>
      <c r="DL65" s="46">
        <v>317</v>
      </c>
      <c r="DM65" s="46">
        <v>275</v>
      </c>
      <c r="DN65" s="46">
        <v>303</v>
      </c>
      <c r="DO65" s="46">
        <v>268</v>
      </c>
      <c r="DP65" s="46">
        <v>257</v>
      </c>
      <c r="DQ65" s="46">
        <v>298</v>
      </c>
      <c r="DR65" s="46">
        <v>294</v>
      </c>
      <c r="DS65" s="46">
        <v>304</v>
      </c>
      <c r="DT65" s="46">
        <v>389</v>
      </c>
      <c r="DU65" s="46">
        <v>357</v>
      </c>
      <c r="DV65" s="46">
        <v>347</v>
      </c>
      <c r="DW65" s="46">
        <v>288</v>
      </c>
      <c r="DX65" s="46">
        <v>274</v>
      </c>
      <c r="DY65" s="46">
        <v>282</v>
      </c>
      <c r="DZ65" s="46">
        <v>286</v>
      </c>
      <c r="EA65" s="46">
        <v>333</v>
      </c>
      <c r="EB65" s="46">
        <v>314</v>
      </c>
      <c r="EC65" s="46">
        <v>292</v>
      </c>
      <c r="ED65" s="46">
        <v>345</v>
      </c>
      <c r="EE65" s="46">
        <v>372</v>
      </c>
      <c r="EF65" s="46">
        <v>359</v>
      </c>
      <c r="EG65" s="46">
        <v>374</v>
      </c>
      <c r="EH65" s="46">
        <v>329</v>
      </c>
      <c r="EI65" s="46">
        <v>328</v>
      </c>
      <c r="EJ65" s="46">
        <v>286</v>
      </c>
      <c r="EK65" s="46">
        <v>348</v>
      </c>
      <c r="EL65" s="46">
        <v>300</v>
      </c>
      <c r="EM65" s="46">
        <v>275</v>
      </c>
      <c r="EN65" s="46">
        <v>293</v>
      </c>
      <c r="EO65" s="46">
        <v>174</v>
      </c>
      <c r="EP65" s="46">
        <v>124</v>
      </c>
      <c r="EQ65" s="46">
        <v>110</v>
      </c>
      <c r="ER65" s="46">
        <v>119</v>
      </c>
      <c r="ES65" s="46">
        <v>115</v>
      </c>
      <c r="ET65" s="46">
        <v>1031</v>
      </c>
      <c r="EU65" s="46">
        <v>934</v>
      </c>
      <c r="EV65" s="46">
        <v>742</v>
      </c>
      <c r="EW65" s="46">
        <v>353</v>
      </c>
      <c r="EX65" s="71">
        <v>781.88117136792903</v>
      </c>
      <c r="EY65" s="71">
        <v>772.41025562152026</v>
      </c>
      <c r="EZ65" s="71">
        <v>762.93933987511161</v>
      </c>
      <c r="FA65" s="71">
        <v>753.46842412870296</v>
      </c>
      <c r="FB65" s="71">
        <v>743.9975083822942</v>
      </c>
      <c r="FC65" s="71">
        <v>734.52659263588555</v>
      </c>
      <c r="FD65" s="71">
        <v>725.0556768894769</v>
      </c>
      <c r="FE65" s="71">
        <v>715.58476114306825</v>
      </c>
      <c r="FF65" s="72">
        <v>206285</v>
      </c>
      <c r="FG65" s="72">
        <v>211047</v>
      </c>
      <c r="FH65" s="476">
        <v>215667</v>
      </c>
      <c r="FI65" s="476">
        <v>219686.49100000001</v>
      </c>
      <c r="FJ65" s="476">
        <v>223619.92499999999</v>
      </c>
      <c r="FK65" s="476">
        <v>227669.37</v>
      </c>
    </row>
    <row r="66" spans="1:167">
      <c r="A66" s="73" t="s">
        <v>922</v>
      </c>
      <c r="B66" s="19" t="s">
        <v>923</v>
      </c>
      <c r="C66" s="74" t="s">
        <v>711</v>
      </c>
      <c r="D66" s="75" t="s">
        <v>248</v>
      </c>
      <c r="E66" s="76">
        <v>35</v>
      </c>
      <c r="F66" s="77">
        <v>30</v>
      </c>
      <c r="G66" s="410">
        <v>40</v>
      </c>
      <c r="H66" s="78">
        <v>19315</v>
      </c>
      <c r="I66" s="77">
        <v>20240</v>
      </c>
      <c r="J66" s="410">
        <v>21063</v>
      </c>
      <c r="K66" s="410">
        <v>21696.303999999996</v>
      </c>
      <c r="L66" s="418">
        <v>22415.495999999996</v>
      </c>
      <c r="M66" s="79">
        <v>176</v>
      </c>
      <c r="N66" s="80">
        <v>138.30000000000001</v>
      </c>
      <c r="O66" s="421">
        <v>207.5</v>
      </c>
      <c r="P66" s="71">
        <v>29</v>
      </c>
      <c r="Q66" s="75" t="s">
        <v>248</v>
      </c>
      <c r="R66" s="81">
        <v>85</v>
      </c>
      <c r="S66" s="77">
        <v>110</v>
      </c>
      <c r="T66" s="452">
        <v>680</v>
      </c>
      <c r="U66" s="77">
        <v>90</v>
      </c>
      <c r="V66" s="77">
        <v>130</v>
      </c>
      <c r="W66" s="452">
        <v>695</v>
      </c>
      <c r="X66" s="82">
        <v>92.3</v>
      </c>
      <c r="Y66" s="83">
        <v>84.7</v>
      </c>
      <c r="Z66" s="443">
        <v>98.1</v>
      </c>
      <c r="AA66" s="63">
        <v>113</v>
      </c>
      <c r="AB66" s="63">
        <v>131</v>
      </c>
      <c r="AC66" s="19" t="s">
        <v>248</v>
      </c>
      <c r="AD66" s="84">
        <v>212</v>
      </c>
      <c r="AE66" s="85">
        <v>196</v>
      </c>
      <c r="AF66" s="85">
        <v>124</v>
      </c>
      <c r="AG66" s="85">
        <v>289</v>
      </c>
      <c r="AH66" s="85">
        <v>100</v>
      </c>
      <c r="AI66" s="85">
        <v>68</v>
      </c>
      <c r="AJ66" s="85">
        <v>100</v>
      </c>
      <c r="AK66" s="85">
        <v>140</v>
      </c>
      <c r="AL66" s="96">
        <v>104</v>
      </c>
      <c r="AM66" s="96">
        <v>164</v>
      </c>
      <c r="AN66" s="96">
        <v>163</v>
      </c>
      <c r="AO66" s="96">
        <v>199</v>
      </c>
      <c r="AP66" s="96">
        <v>319</v>
      </c>
      <c r="AQ66" s="96">
        <v>299</v>
      </c>
      <c r="AR66" s="96">
        <v>180</v>
      </c>
      <c r="AS66" s="96">
        <v>173</v>
      </c>
      <c r="AT66" s="96">
        <v>252</v>
      </c>
      <c r="AU66" s="96">
        <v>324</v>
      </c>
      <c r="AV66" s="96">
        <v>351</v>
      </c>
      <c r="AW66" s="96">
        <v>420</v>
      </c>
      <c r="AX66" s="97">
        <v>526</v>
      </c>
      <c r="AY66" s="97">
        <v>489</v>
      </c>
      <c r="AZ66" s="97">
        <v>284</v>
      </c>
      <c r="BA66" s="97">
        <v>230</v>
      </c>
      <c r="BB66" s="97">
        <v>144</v>
      </c>
      <c r="BC66" s="97">
        <v>175</v>
      </c>
      <c r="BD66" s="87">
        <v>219</v>
      </c>
      <c r="BE66" s="87">
        <v>210</v>
      </c>
      <c r="BF66" s="87">
        <v>138</v>
      </c>
      <c r="BG66" s="87">
        <v>143</v>
      </c>
      <c r="BH66" s="87">
        <v>211</v>
      </c>
      <c r="BI66" s="87">
        <v>364</v>
      </c>
      <c r="BJ66" s="87">
        <v>427</v>
      </c>
      <c r="BK66" s="87">
        <v>401</v>
      </c>
      <c r="BL66" s="87">
        <v>423</v>
      </c>
      <c r="BM66" s="87">
        <v>412</v>
      </c>
      <c r="BN66" s="87">
        <v>479</v>
      </c>
      <c r="BO66" s="87">
        <v>354</v>
      </c>
      <c r="BP66" s="87">
        <v>453</v>
      </c>
      <c r="BQ66" s="87">
        <v>363</v>
      </c>
      <c r="BR66" s="96">
        <v>447</v>
      </c>
      <c r="BS66" s="96">
        <v>570</v>
      </c>
      <c r="BT66" s="96">
        <v>532</v>
      </c>
      <c r="BU66" s="96">
        <v>315</v>
      </c>
      <c r="BV66" s="67">
        <v>1251</v>
      </c>
      <c r="BW66" s="67">
        <v>1245</v>
      </c>
      <c r="BX66" s="67">
        <v>1263</v>
      </c>
      <c r="BY66" s="67">
        <v>1417</v>
      </c>
      <c r="BZ66" s="68">
        <v>1344.9175475687102</v>
      </c>
      <c r="CA66" s="68">
        <v>1407.9302325581396</v>
      </c>
      <c r="CB66" s="68">
        <v>1470.9429175475686</v>
      </c>
      <c r="CC66" s="68">
        <v>1533.9556025369977</v>
      </c>
      <c r="CD66" s="68">
        <v>1596.968287526427</v>
      </c>
      <c r="CE66" s="68">
        <v>1659.9809725158561</v>
      </c>
      <c r="CF66" s="68">
        <v>1722.9936575052852</v>
      </c>
      <c r="CG66" s="68">
        <v>1786.0063424947145</v>
      </c>
      <c r="CH66" s="87">
        <v>129000</v>
      </c>
      <c r="CI66" s="467">
        <v>128272</v>
      </c>
      <c r="CJ66" s="467">
        <v>128076.84299999999</v>
      </c>
      <c r="CK66" s="467">
        <v>127919.43</v>
      </c>
      <c r="CL66" s="468">
        <v>128032.03799999996</v>
      </c>
      <c r="CM66" s="19" t="s">
        <v>248</v>
      </c>
      <c r="CN66" s="70">
        <v>180</v>
      </c>
      <c r="CO66" s="70">
        <v>170</v>
      </c>
      <c r="CP66" s="70">
        <v>157</v>
      </c>
      <c r="CQ66" s="70">
        <v>171</v>
      </c>
      <c r="CR66" s="70">
        <v>182</v>
      </c>
      <c r="CS66" s="70">
        <v>167</v>
      </c>
      <c r="CT66" s="70">
        <v>191</v>
      </c>
      <c r="CU66" s="70">
        <v>205</v>
      </c>
      <c r="CV66" s="70">
        <v>227</v>
      </c>
      <c r="CW66" s="70">
        <v>211</v>
      </c>
      <c r="CX66" s="70">
        <v>212</v>
      </c>
      <c r="CY66" s="70">
        <v>210</v>
      </c>
      <c r="CZ66" s="70">
        <v>237</v>
      </c>
      <c r="DA66" s="70">
        <v>193</v>
      </c>
      <c r="DB66" s="70">
        <v>247</v>
      </c>
      <c r="DC66" s="70">
        <v>215</v>
      </c>
      <c r="DD66" s="70">
        <v>209</v>
      </c>
      <c r="DE66" s="70">
        <v>237</v>
      </c>
      <c r="DF66" s="70">
        <v>221</v>
      </c>
      <c r="DG66" s="70">
        <v>201</v>
      </c>
      <c r="DH66" s="70">
        <v>264</v>
      </c>
      <c r="DI66" s="70">
        <v>221</v>
      </c>
      <c r="DJ66" s="70">
        <v>196</v>
      </c>
      <c r="DK66" s="70">
        <v>188</v>
      </c>
      <c r="DL66" s="46">
        <v>194</v>
      </c>
      <c r="DM66" s="46">
        <v>194</v>
      </c>
      <c r="DN66" s="46">
        <v>204</v>
      </c>
      <c r="DO66" s="46">
        <v>201</v>
      </c>
      <c r="DP66" s="46">
        <v>189</v>
      </c>
      <c r="DQ66" s="46">
        <v>213</v>
      </c>
      <c r="DR66" s="46">
        <v>216</v>
      </c>
      <c r="DS66" s="46">
        <v>188</v>
      </c>
      <c r="DT66" s="46">
        <v>222</v>
      </c>
      <c r="DU66" s="46">
        <v>215</v>
      </c>
      <c r="DV66" s="46">
        <v>200</v>
      </c>
      <c r="DW66" s="46">
        <v>192</v>
      </c>
      <c r="DX66" s="46">
        <v>207</v>
      </c>
      <c r="DY66" s="46">
        <v>182</v>
      </c>
      <c r="DZ66" s="46">
        <v>212</v>
      </c>
      <c r="EA66" s="46">
        <v>183</v>
      </c>
      <c r="EB66" s="46">
        <v>176</v>
      </c>
      <c r="EC66" s="46">
        <v>190</v>
      </c>
      <c r="ED66" s="46">
        <v>205</v>
      </c>
      <c r="EE66" s="46">
        <v>235</v>
      </c>
      <c r="EF66" s="46">
        <v>215</v>
      </c>
      <c r="EG66" s="46">
        <v>227</v>
      </c>
      <c r="EH66" s="46">
        <v>195</v>
      </c>
      <c r="EI66" s="46">
        <v>178</v>
      </c>
      <c r="EJ66" s="46">
        <v>194</v>
      </c>
      <c r="EK66" s="46">
        <v>191</v>
      </c>
      <c r="EL66" s="46">
        <v>165</v>
      </c>
      <c r="EM66" s="46">
        <v>187</v>
      </c>
      <c r="EN66" s="46">
        <v>180</v>
      </c>
      <c r="EO66" s="46">
        <v>194</v>
      </c>
      <c r="EP66" s="46">
        <v>187</v>
      </c>
      <c r="EQ66" s="46">
        <v>168</v>
      </c>
      <c r="ER66" s="46">
        <v>198</v>
      </c>
      <c r="ES66" s="46">
        <v>187</v>
      </c>
      <c r="ET66" s="46">
        <v>600</v>
      </c>
      <c r="EU66" s="46">
        <v>550</v>
      </c>
      <c r="EV66" s="46">
        <v>561</v>
      </c>
      <c r="EW66" s="46">
        <v>553</v>
      </c>
      <c r="EX66" s="71">
        <v>584.29339567504394</v>
      </c>
      <c r="EY66" s="71">
        <v>582.86265341905323</v>
      </c>
      <c r="EZ66" s="71">
        <v>581.43191116306264</v>
      </c>
      <c r="FA66" s="71">
        <v>580.00116890707204</v>
      </c>
      <c r="FB66" s="71">
        <v>578.57042665108133</v>
      </c>
      <c r="FC66" s="71">
        <v>577.13968439509063</v>
      </c>
      <c r="FD66" s="71">
        <v>575.70894213910003</v>
      </c>
      <c r="FE66" s="71">
        <v>574.27819988310944</v>
      </c>
      <c r="FF66" s="72">
        <v>158251</v>
      </c>
      <c r="FG66" s="72">
        <v>155930</v>
      </c>
      <c r="FH66" s="476">
        <v>155594</v>
      </c>
      <c r="FI66" s="476">
        <v>155594.11600000001</v>
      </c>
      <c r="FJ66" s="476">
        <v>155586.06599999999</v>
      </c>
      <c r="FK66" s="476">
        <v>155889.37700000001</v>
      </c>
    </row>
    <row r="67" spans="1:167">
      <c r="A67" s="222" t="s">
        <v>950</v>
      </c>
      <c r="B67" s="19" t="s">
        <v>951</v>
      </c>
      <c r="C67" s="74" t="s">
        <v>712</v>
      </c>
      <c r="D67" s="75" t="s">
        <v>252</v>
      </c>
      <c r="E67" s="76">
        <v>2240</v>
      </c>
      <c r="F67" s="77">
        <v>2170</v>
      </c>
      <c r="G67" s="410">
        <v>1905</v>
      </c>
      <c r="H67" s="78">
        <v>264930</v>
      </c>
      <c r="I67" s="77">
        <v>277125</v>
      </c>
      <c r="J67" s="410">
        <v>286310</v>
      </c>
      <c r="K67" s="410">
        <v>294091.53700000013</v>
      </c>
      <c r="L67" s="418">
        <v>300997.93799999991</v>
      </c>
      <c r="M67" s="79">
        <v>845.5</v>
      </c>
      <c r="N67" s="80">
        <v>782.7</v>
      </c>
      <c r="O67" s="421">
        <v>688.1</v>
      </c>
      <c r="P67" s="71">
        <v>2043</v>
      </c>
      <c r="Q67" s="75" t="s">
        <v>252</v>
      </c>
      <c r="R67" s="81">
        <v>1225</v>
      </c>
      <c r="S67" s="77">
        <v>1350</v>
      </c>
      <c r="T67" s="452">
        <v>1240</v>
      </c>
      <c r="U67" s="77">
        <v>1430</v>
      </c>
      <c r="V67" s="77">
        <v>1605</v>
      </c>
      <c r="W67" s="452">
        <v>1480</v>
      </c>
      <c r="X67" s="82">
        <v>85.9</v>
      </c>
      <c r="Y67" s="83">
        <v>84</v>
      </c>
      <c r="Z67" s="443">
        <v>83.8</v>
      </c>
      <c r="AA67" s="63">
        <v>0</v>
      </c>
      <c r="AB67" s="63">
        <v>0</v>
      </c>
      <c r="AC67" s="19" t="s">
        <v>252</v>
      </c>
      <c r="AD67" s="84">
        <v>2357</v>
      </c>
      <c r="AE67" s="85">
        <v>2577</v>
      </c>
      <c r="AF67" s="85">
        <v>2701</v>
      </c>
      <c r="AG67" s="85">
        <v>2936</v>
      </c>
      <c r="AH67" s="85">
        <v>2946</v>
      </c>
      <c r="AI67" s="85">
        <v>3562</v>
      </c>
      <c r="AJ67" s="85">
        <v>3048</v>
      </c>
      <c r="AK67" s="85">
        <v>2676</v>
      </c>
      <c r="AL67" s="96">
        <v>2303</v>
      </c>
      <c r="AM67" s="96">
        <v>2285</v>
      </c>
      <c r="AN67" s="96">
        <v>2391</v>
      </c>
      <c r="AO67" s="96">
        <v>2768</v>
      </c>
      <c r="AP67" s="96">
        <v>2541</v>
      </c>
      <c r="AQ67" s="96">
        <v>2540</v>
      </c>
      <c r="AR67" s="96">
        <v>2970</v>
      </c>
      <c r="AS67" s="96">
        <v>2400</v>
      </c>
      <c r="AT67" s="96">
        <v>2209</v>
      </c>
      <c r="AU67" s="96">
        <v>2242</v>
      </c>
      <c r="AV67" s="96">
        <v>2480</v>
      </c>
      <c r="AW67" s="96">
        <v>3093</v>
      </c>
      <c r="AX67" s="97">
        <v>2596</v>
      </c>
      <c r="AY67" s="97">
        <v>2978</v>
      </c>
      <c r="AZ67" s="97">
        <v>2653</v>
      </c>
      <c r="BA67" s="97">
        <v>2464</v>
      </c>
      <c r="BB67" s="97">
        <v>2669</v>
      </c>
      <c r="BC67" s="97">
        <v>3117</v>
      </c>
      <c r="BD67" s="87">
        <v>3092</v>
      </c>
      <c r="BE67" s="87">
        <v>2845</v>
      </c>
      <c r="BF67" s="87">
        <v>2517</v>
      </c>
      <c r="BG67" s="87">
        <v>2992</v>
      </c>
      <c r="BH67" s="87">
        <v>2219</v>
      </c>
      <c r="BI67" s="87">
        <v>2182</v>
      </c>
      <c r="BJ67" s="87">
        <v>2204</v>
      </c>
      <c r="BK67" s="87">
        <v>2199</v>
      </c>
      <c r="BL67" s="87">
        <v>1948</v>
      </c>
      <c r="BM67" s="87">
        <v>1625</v>
      </c>
      <c r="BN67" s="87">
        <v>1966</v>
      </c>
      <c r="BO67" s="87">
        <v>1969</v>
      </c>
      <c r="BP67" s="87">
        <v>2420</v>
      </c>
      <c r="BQ67" s="87">
        <v>2503</v>
      </c>
      <c r="BR67" s="96">
        <v>2483</v>
      </c>
      <c r="BS67" s="96">
        <v>2294</v>
      </c>
      <c r="BT67" s="96">
        <v>2122</v>
      </c>
      <c r="BU67" s="96">
        <v>2148</v>
      </c>
      <c r="BV67" s="67">
        <v>6351</v>
      </c>
      <c r="BW67" s="67">
        <v>5560</v>
      </c>
      <c r="BX67" s="67">
        <v>7406</v>
      </c>
      <c r="BY67" s="67">
        <v>6564</v>
      </c>
      <c r="BZ67" s="68">
        <v>6567.0539112050737</v>
      </c>
      <c r="CA67" s="68">
        <v>6437.2484143763213</v>
      </c>
      <c r="CB67" s="68">
        <v>6307.4429175475689</v>
      </c>
      <c r="CC67" s="68">
        <v>6177.6374207188155</v>
      </c>
      <c r="CD67" s="68">
        <v>6047.8319238900631</v>
      </c>
      <c r="CE67" s="68">
        <v>5918.0264270613116</v>
      </c>
      <c r="CF67" s="68">
        <v>5788.2209302325582</v>
      </c>
      <c r="CG67" s="68">
        <v>5658.4154334038049</v>
      </c>
      <c r="CH67" s="87">
        <v>1155900</v>
      </c>
      <c r="CI67" s="467">
        <v>1167474</v>
      </c>
      <c r="CJ67" s="467">
        <v>1175525.3249999993</v>
      </c>
      <c r="CK67" s="467">
        <v>1186575.1659999993</v>
      </c>
      <c r="CL67" s="468">
        <v>1197971.2930000005</v>
      </c>
      <c r="CM67" s="19" t="s">
        <v>252</v>
      </c>
      <c r="CN67" s="70">
        <v>2266</v>
      </c>
      <c r="CO67" s="70">
        <v>2102</v>
      </c>
      <c r="CP67" s="70">
        <v>2082</v>
      </c>
      <c r="CQ67" s="70">
        <v>1970</v>
      </c>
      <c r="CR67" s="70">
        <v>1888</v>
      </c>
      <c r="CS67" s="70">
        <v>2087</v>
      </c>
      <c r="CT67" s="70">
        <v>2225</v>
      </c>
      <c r="CU67" s="70">
        <v>2276</v>
      </c>
      <c r="CV67" s="70">
        <v>2656</v>
      </c>
      <c r="CW67" s="70">
        <v>2288</v>
      </c>
      <c r="CX67" s="70">
        <v>2179</v>
      </c>
      <c r="CY67" s="70">
        <v>2282</v>
      </c>
      <c r="CZ67" s="70">
        <v>2206</v>
      </c>
      <c r="DA67" s="70">
        <v>2190</v>
      </c>
      <c r="DB67" s="70">
        <v>2151</v>
      </c>
      <c r="DC67" s="70">
        <v>2133</v>
      </c>
      <c r="DD67" s="70">
        <v>2115</v>
      </c>
      <c r="DE67" s="70">
        <v>2165</v>
      </c>
      <c r="DF67" s="70">
        <v>2314</v>
      </c>
      <c r="DG67" s="70">
        <v>2351</v>
      </c>
      <c r="DH67" s="70">
        <v>2778</v>
      </c>
      <c r="DI67" s="70">
        <v>2544</v>
      </c>
      <c r="DJ67" s="70">
        <v>2332</v>
      </c>
      <c r="DK67" s="70">
        <v>2403</v>
      </c>
      <c r="DL67" s="46">
        <v>2362</v>
      </c>
      <c r="DM67" s="46">
        <v>2200</v>
      </c>
      <c r="DN67" s="46">
        <v>2202</v>
      </c>
      <c r="DO67" s="46">
        <v>2194</v>
      </c>
      <c r="DP67" s="46">
        <v>2003</v>
      </c>
      <c r="DQ67" s="46">
        <v>2139</v>
      </c>
      <c r="DR67" s="46">
        <v>2292</v>
      </c>
      <c r="DS67" s="46">
        <v>2332</v>
      </c>
      <c r="DT67" s="46">
        <v>2662</v>
      </c>
      <c r="DU67" s="46">
        <v>2437</v>
      </c>
      <c r="DV67" s="46">
        <v>2405</v>
      </c>
      <c r="DW67" s="46">
        <v>2382</v>
      </c>
      <c r="DX67" s="46">
        <v>2441</v>
      </c>
      <c r="DY67" s="46">
        <v>2302</v>
      </c>
      <c r="DZ67" s="46">
        <v>2354</v>
      </c>
      <c r="EA67" s="46">
        <v>2244</v>
      </c>
      <c r="EB67" s="46">
        <v>2132</v>
      </c>
      <c r="EC67" s="46">
        <v>2088</v>
      </c>
      <c r="ED67" s="46">
        <v>2311</v>
      </c>
      <c r="EE67" s="46">
        <v>2417</v>
      </c>
      <c r="EF67" s="46">
        <v>2699</v>
      </c>
      <c r="EG67" s="46">
        <v>2495</v>
      </c>
      <c r="EH67" s="46">
        <v>2325</v>
      </c>
      <c r="EI67" s="46">
        <v>2508</v>
      </c>
      <c r="EJ67" s="46">
        <v>2596</v>
      </c>
      <c r="EK67" s="46">
        <v>2455</v>
      </c>
      <c r="EL67" s="46">
        <v>2213</v>
      </c>
      <c r="EM67" s="46">
        <v>2232</v>
      </c>
      <c r="EN67" s="46">
        <v>2082</v>
      </c>
      <c r="EO67" s="46">
        <v>2237</v>
      </c>
      <c r="EP67" s="46">
        <v>2396</v>
      </c>
      <c r="EQ67" s="46">
        <v>2408</v>
      </c>
      <c r="ER67" s="46">
        <v>2781</v>
      </c>
      <c r="ES67" s="46">
        <v>2276</v>
      </c>
      <c r="ET67" s="46">
        <v>7328</v>
      </c>
      <c r="EU67" s="46">
        <v>7264</v>
      </c>
      <c r="EV67" s="46">
        <v>6551</v>
      </c>
      <c r="EW67" s="46">
        <v>7585</v>
      </c>
      <c r="EX67" s="71">
        <v>7329.0118121135692</v>
      </c>
      <c r="EY67" s="71">
        <v>7367.7296133378459</v>
      </c>
      <c r="EZ67" s="71">
        <v>7406.4474145621225</v>
      </c>
      <c r="FA67" s="71">
        <v>7445.1652157863973</v>
      </c>
      <c r="FB67" s="71">
        <v>7483.8830170106739</v>
      </c>
      <c r="FC67" s="71">
        <v>7522.6008182349506</v>
      </c>
      <c r="FD67" s="71">
        <v>7561.3186194592272</v>
      </c>
      <c r="FE67" s="71">
        <v>7600.0364206835029</v>
      </c>
      <c r="FF67" s="72">
        <v>1466466</v>
      </c>
      <c r="FG67" s="72">
        <v>1480166</v>
      </c>
      <c r="FH67" s="476">
        <v>1493512</v>
      </c>
      <c r="FI67" s="476">
        <v>1502703.5469999998</v>
      </c>
      <c r="FJ67" s="476">
        <v>1515197.3910000001</v>
      </c>
      <c r="FK67" s="476">
        <v>1528305.4959999998</v>
      </c>
    </row>
    <row r="68" spans="1:167">
      <c r="A68" s="73" t="s">
        <v>943</v>
      </c>
      <c r="B68" s="19" t="s">
        <v>944</v>
      </c>
      <c r="C68" s="74" t="s">
        <v>713</v>
      </c>
      <c r="D68" s="75" t="s">
        <v>255</v>
      </c>
      <c r="E68" s="76">
        <v>350</v>
      </c>
      <c r="F68" s="77">
        <v>295</v>
      </c>
      <c r="G68" s="410">
        <v>330</v>
      </c>
      <c r="H68" s="78">
        <v>35905</v>
      </c>
      <c r="I68" s="77">
        <v>36850</v>
      </c>
      <c r="J68" s="410">
        <v>37662</v>
      </c>
      <c r="K68" s="410">
        <v>38187.160000000003</v>
      </c>
      <c r="L68" s="418">
        <v>38715.311000000009</v>
      </c>
      <c r="M68" s="79">
        <v>972</v>
      </c>
      <c r="N68" s="80">
        <v>803.2</v>
      </c>
      <c r="O68" s="421">
        <v>895.5</v>
      </c>
      <c r="P68" s="71">
        <v>276</v>
      </c>
      <c r="Q68" s="75" t="s">
        <v>255</v>
      </c>
      <c r="R68" s="81">
        <v>70</v>
      </c>
      <c r="S68" s="77">
        <v>75</v>
      </c>
      <c r="T68" s="452">
        <v>185</v>
      </c>
      <c r="U68" s="77">
        <v>90</v>
      </c>
      <c r="V68" s="77">
        <v>90</v>
      </c>
      <c r="W68" s="452">
        <v>210</v>
      </c>
      <c r="X68" s="82">
        <v>79.8</v>
      </c>
      <c r="Y68" s="83">
        <v>84.1</v>
      </c>
      <c r="Z68" s="443">
        <v>88.5</v>
      </c>
      <c r="AA68" s="63">
        <v>82</v>
      </c>
      <c r="AB68" s="63">
        <v>90</v>
      </c>
      <c r="AC68" s="19" t="s">
        <v>255</v>
      </c>
      <c r="AD68" s="84">
        <v>209</v>
      </c>
      <c r="AE68" s="85">
        <v>284</v>
      </c>
      <c r="AF68" s="85">
        <v>210</v>
      </c>
      <c r="AG68" s="85">
        <v>443</v>
      </c>
      <c r="AH68" s="85">
        <v>319</v>
      </c>
      <c r="AI68" s="85">
        <v>376</v>
      </c>
      <c r="AJ68" s="85">
        <v>562</v>
      </c>
      <c r="AK68" s="85">
        <v>847</v>
      </c>
      <c r="AL68" s="96">
        <v>798</v>
      </c>
      <c r="AM68" s="96">
        <v>836</v>
      </c>
      <c r="AN68" s="96">
        <v>1122</v>
      </c>
      <c r="AO68" s="96">
        <v>1089</v>
      </c>
      <c r="AP68" s="96">
        <v>935</v>
      </c>
      <c r="AQ68" s="96">
        <v>941</v>
      </c>
      <c r="AR68" s="96">
        <v>942</v>
      </c>
      <c r="AS68" s="96">
        <v>1013</v>
      </c>
      <c r="AT68" s="96">
        <v>890</v>
      </c>
      <c r="AU68" s="96">
        <v>824</v>
      </c>
      <c r="AV68" s="96">
        <v>749</v>
      </c>
      <c r="AW68" s="96">
        <v>892</v>
      </c>
      <c r="AX68" s="97">
        <v>930</v>
      </c>
      <c r="AY68" s="97">
        <v>849</v>
      </c>
      <c r="AZ68" s="97">
        <v>923</v>
      </c>
      <c r="BA68" s="97">
        <v>851</v>
      </c>
      <c r="BB68" s="97">
        <v>1030</v>
      </c>
      <c r="BC68" s="97">
        <v>915</v>
      </c>
      <c r="BD68" s="87">
        <v>776</v>
      </c>
      <c r="BE68" s="87">
        <v>612</v>
      </c>
      <c r="BF68" s="87">
        <v>872</v>
      </c>
      <c r="BG68" s="87">
        <v>990</v>
      </c>
      <c r="BH68" s="87">
        <v>653</v>
      </c>
      <c r="BI68" s="87">
        <v>721</v>
      </c>
      <c r="BJ68" s="87">
        <v>778</v>
      </c>
      <c r="BK68" s="87">
        <v>727</v>
      </c>
      <c r="BL68" s="87">
        <v>547</v>
      </c>
      <c r="BM68" s="87">
        <v>649</v>
      </c>
      <c r="BN68" s="87">
        <v>679</v>
      </c>
      <c r="BO68" s="87">
        <v>681</v>
      </c>
      <c r="BP68" s="87">
        <v>668</v>
      </c>
      <c r="BQ68" s="87">
        <v>749</v>
      </c>
      <c r="BR68" s="96">
        <v>614</v>
      </c>
      <c r="BS68" s="96">
        <v>833</v>
      </c>
      <c r="BT68" s="96">
        <v>521</v>
      </c>
      <c r="BU68" s="96">
        <v>372</v>
      </c>
      <c r="BV68" s="67">
        <v>2052</v>
      </c>
      <c r="BW68" s="67">
        <v>2009</v>
      </c>
      <c r="BX68" s="67">
        <v>2031</v>
      </c>
      <c r="BY68" s="67">
        <v>1726</v>
      </c>
      <c r="BZ68" s="68">
        <v>2356.4329809725159</v>
      </c>
      <c r="CA68" s="68">
        <v>2376.8006342494714</v>
      </c>
      <c r="CB68" s="68">
        <v>2397.1682875264269</v>
      </c>
      <c r="CC68" s="68">
        <v>2417.5359408033828</v>
      </c>
      <c r="CD68" s="68">
        <v>2437.9035940803383</v>
      </c>
      <c r="CE68" s="68">
        <v>2458.2712473572938</v>
      </c>
      <c r="CF68" s="68">
        <v>2478.6389006342492</v>
      </c>
      <c r="CG68" s="68">
        <v>2499.0065539112052</v>
      </c>
      <c r="CH68" s="87">
        <v>202300</v>
      </c>
      <c r="CI68" s="467">
        <v>202325</v>
      </c>
      <c r="CJ68" s="467">
        <v>203153.82499999992</v>
      </c>
      <c r="CK68" s="467">
        <v>203784.321</v>
      </c>
      <c r="CL68" s="468">
        <v>204306.62100000016</v>
      </c>
      <c r="CM68" s="19" t="s">
        <v>255</v>
      </c>
      <c r="CN68" s="70">
        <v>463</v>
      </c>
      <c r="CO68" s="70">
        <v>476</v>
      </c>
      <c r="CP68" s="70">
        <v>423</v>
      </c>
      <c r="CQ68" s="70">
        <v>441</v>
      </c>
      <c r="CR68" s="70">
        <v>397</v>
      </c>
      <c r="CS68" s="70">
        <v>426</v>
      </c>
      <c r="CT68" s="70">
        <v>459</v>
      </c>
      <c r="CU68" s="70">
        <v>424</v>
      </c>
      <c r="CV68" s="70">
        <v>503</v>
      </c>
      <c r="CW68" s="70">
        <v>463</v>
      </c>
      <c r="CX68" s="70">
        <v>435</v>
      </c>
      <c r="CY68" s="70">
        <v>485</v>
      </c>
      <c r="CZ68" s="70">
        <v>453</v>
      </c>
      <c r="DA68" s="70">
        <v>485</v>
      </c>
      <c r="DB68" s="70">
        <v>498</v>
      </c>
      <c r="DC68" s="70">
        <v>506</v>
      </c>
      <c r="DD68" s="70">
        <v>462</v>
      </c>
      <c r="DE68" s="70">
        <v>488</v>
      </c>
      <c r="DF68" s="70">
        <v>590</v>
      </c>
      <c r="DG68" s="70">
        <v>575</v>
      </c>
      <c r="DH68" s="70">
        <v>668</v>
      </c>
      <c r="DI68" s="70">
        <v>635</v>
      </c>
      <c r="DJ68" s="70">
        <v>576</v>
      </c>
      <c r="DK68" s="70">
        <v>589</v>
      </c>
      <c r="DL68" s="46">
        <v>568</v>
      </c>
      <c r="DM68" s="46">
        <v>537</v>
      </c>
      <c r="DN68" s="46">
        <v>514</v>
      </c>
      <c r="DO68" s="46">
        <v>551</v>
      </c>
      <c r="DP68" s="46">
        <v>530</v>
      </c>
      <c r="DQ68" s="46">
        <v>493</v>
      </c>
      <c r="DR68" s="46">
        <v>556</v>
      </c>
      <c r="DS68" s="46">
        <v>537</v>
      </c>
      <c r="DT68" s="46">
        <v>647</v>
      </c>
      <c r="DU68" s="46">
        <v>603</v>
      </c>
      <c r="DV68" s="46">
        <v>699</v>
      </c>
      <c r="DW68" s="46">
        <v>653</v>
      </c>
      <c r="DX68" s="46">
        <v>553</v>
      </c>
      <c r="DY68" s="46">
        <v>569</v>
      </c>
      <c r="DZ68" s="46">
        <v>567</v>
      </c>
      <c r="EA68" s="46">
        <v>617</v>
      </c>
      <c r="EB68" s="46">
        <v>541</v>
      </c>
      <c r="EC68" s="46">
        <v>556</v>
      </c>
      <c r="ED68" s="46">
        <v>600</v>
      </c>
      <c r="EE68" s="46">
        <v>646</v>
      </c>
      <c r="EF68" s="46">
        <v>679</v>
      </c>
      <c r="EG68" s="46">
        <v>660</v>
      </c>
      <c r="EH68" s="46">
        <v>606</v>
      </c>
      <c r="EI68" s="46">
        <v>644</v>
      </c>
      <c r="EJ68" s="46">
        <v>609</v>
      </c>
      <c r="EK68" s="46">
        <v>584</v>
      </c>
      <c r="EL68" s="46">
        <v>538</v>
      </c>
      <c r="EM68" s="46">
        <v>550</v>
      </c>
      <c r="EN68" s="46">
        <v>501</v>
      </c>
      <c r="EO68" s="46">
        <v>532</v>
      </c>
      <c r="EP68" s="46">
        <v>586</v>
      </c>
      <c r="EQ68" s="46">
        <v>575</v>
      </c>
      <c r="ER68" s="46">
        <v>697</v>
      </c>
      <c r="ES68" s="46">
        <v>597</v>
      </c>
      <c r="ET68" s="46">
        <v>1910</v>
      </c>
      <c r="EU68" s="46">
        <v>1731</v>
      </c>
      <c r="EV68" s="46">
        <v>1583</v>
      </c>
      <c r="EW68" s="46">
        <v>1858</v>
      </c>
      <c r="EX68" s="71">
        <v>1944.0178104524903</v>
      </c>
      <c r="EY68" s="71">
        <v>1971.5637515764863</v>
      </c>
      <c r="EZ68" s="71">
        <v>1999.1096927004828</v>
      </c>
      <c r="FA68" s="71">
        <v>2026.6556338244793</v>
      </c>
      <c r="FB68" s="71">
        <v>2054.2015749484758</v>
      </c>
      <c r="FC68" s="71">
        <v>2081.7475160724725</v>
      </c>
      <c r="FD68" s="71">
        <v>2109.2934571964688</v>
      </c>
      <c r="FE68" s="71">
        <v>2136.8393983204651</v>
      </c>
      <c r="FF68" s="72">
        <v>256123</v>
      </c>
      <c r="FG68" s="72">
        <v>257204</v>
      </c>
      <c r="FH68" s="476">
        <v>257589</v>
      </c>
      <c r="FI68" s="476">
        <v>258020.81099999999</v>
      </c>
      <c r="FJ68" s="476">
        <v>258628.742</v>
      </c>
      <c r="FK68" s="476">
        <v>259358.31599999999</v>
      </c>
    </row>
    <row r="69" spans="1:167">
      <c r="A69" s="73" t="s">
        <v>907</v>
      </c>
      <c r="B69" s="19" t="s">
        <v>908</v>
      </c>
      <c r="C69" s="74" t="s">
        <v>714</v>
      </c>
      <c r="D69" s="75" t="s">
        <v>258</v>
      </c>
      <c r="E69" s="76">
        <v>85</v>
      </c>
      <c r="F69" s="77">
        <v>75</v>
      </c>
      <c r="G69" s="410">
        <v>95</v>
      </c>
      <c r="H69" s="78">
        <v>20505</v>
      </c>
      <c r="I69" s="77">
        <v>21260</v>
      </c>
      <c r="J69" s="410">
        <v>21808</v>
      </c>
      <c r="K69" s="410">
        <v>22536.7</v>
      </c>
      <c r="L69" s="418">
        <v>23078.965999999997</v>
      </c>
      <c r="M69" s="79">
        <v>404.8</v>
      </c>
      <c r="N69" s="80">
        <v>348.1</v>
      </c>
      <c r="O69" s="421">
        <v>442.2</v>
      </c>
      <c r="P69" s="71">
        <v>70</v>
      </c>
      <c r="Q69" s="75" t="s">
        <v>258</v>
      </c>
      <c r="R69" s="81">
        <v>50</v>
      </c>
      <c r="S69" s="77">
        <v>40</v>
      </c>
      <c r="T69" s="452">
        <v>45</v>
      </c>
      <c r="U69" s="77">
        <v>60</v>
      </c>
      <c r="V69" s="77">
        <v>50</v>
      </c>
      <c r="W69" s="452">
        <v>55</v>
      </c>
      <c r="X69" s="82">
        <v>82.3</v>
      </c>
      <c r="Y69" s="83">
        <v>77.599999999999994</v>
      </c>
      <c r="Z69" s="443">
        <v>82.1</v>
      </c>
      <c r="AA69" s="63">
        <v>103</v>
      </c>
      <c r="AB69" s="63">
        <v>125</v>
      </c>
      <c r="AC69" s="19" t="s">
        <v>258</v>
      </c>
      <c r="AD69" s="84">
        <v>107</v>
      </c>
      <c r="AE69" s="85">
        <v>61</v>
      </c>
      <c r="AF69" s="85">
        <v>62</v>
      </c>
      <c r="AG69" s="85">
        <v>65</v>
      </c>
      <c r="AH69" s="85">
        <v>76</v>
      </c>
      <c r="AI69" s="85">
        <v>86</v>
      </c>
      <c r="AJ69" s="85">
        <v>67</v>
      </c>
      <c r="AK69" s="85">
        <v>183</v>
      </c>
      <c r="AL69" s="96">
        <v>183</v>
      </c>
      <c r="AM69" s="96">
        <v>249</v>
      </c>
      <c r="AN69" s="96">
        <v>147</v>
      </c>
      <c r="AO69" s="96">
        <v>198</v>
      </c>
      <c r="AP69" s="96">
        <v>124</v>
      </c>
      <c r="AQ69" s="96">
        <v>78</v>
      </c>
      <c r="AR69" s="96">
        <v>160</v>
      </c>
      <c r="AS69" s="96">
        <v>123</v>
      </c>
      <c r="AT69" s="96">
        <v>216</v>
      </c>
      <c r="AU69" s="96">
        <v>288</v>
      </c>
      <c r="AV69" s="96">
        <v>273</v>
      </c>
      <c r="AW69" s="96">
        <v>219</v>
      </c>
      <c r="AX69" s="97">
        <v>217</v>
      </c>
      <c r="AY69" s="97">
        <v>271</v>
      </c>
      <c r="AZ69" s="97">
        <v>266</v>
      </c>
      <c r="BA69" s="97">
        <v>190</v>
      </c>
      <c r="BB69" s="97">
        <v>180</v>
      </c>
      <c r="BC69" s="97">
        <v>232</v>
      </c>
      <c r="BD69" s="87">
        <v>266</v>
      </c>
      <c r="BE69" s="87">
        <v>188</v>
      </c>
      <c r="BF69" s="87">
        <v>243</v>
      </c>
      <c r="BG69" s="87">
        <v>278</v>
      </c>
      <c r="BH69" s="87">
        <v>228</v>
      </c>
      <c r="BI69" s="87">
        <v>174</v>
      </c>
      <c r="BJ69" s="87">
        <v>155</v>
      </c>
      <c r="BK69" s="87">
        <v>222</v>
      </c>
      <c r="BL69" s="87">
        <v>156</v>
      </c>
      <c r="BM69" s="87">
        <v>211</v>
      </c>
      <c r="BN69" s="87">
        <v>146</v>
      </c>
      <c r="BO69" s="87">
        <v>181</v>
      </c>
      <c r="BP69" s="87">
        <v>266</v>
      </c>
      <c r="BQ69" s="87">
        <v>204</v>
      </c>
      <c r="BR69" s="96">
        <v>262</v>
      </c>
      <c r="BS69" s="96">
        <v>333</v>
      </c>
      <c r="BT69" s="96">
        <v>246</v>
      </c>
      <c r="BU69" s="96">
        <v>432</v>
      </c>
      <c r="BV69" s="67">
        <v>533</v>
      </c>
      <c r="BW69" s="67">
        <v>538</v>
      </c>
      <c r="BX69" s="67">
        <v>732</v>
      </c>
      <c r="BY69" s="67">
        <v>1011</v>
      </c>
      <c r="BZ69" s="68">
        <v>865.08625792811836</v>
      </c>
      <c r="CA69" s="68">
        <v>901.43382663847785</v>
      </c>
      <c r="CB69" s="68">
        <v>937.78139534883712</v>
      </c>
      <c r="CC69" s="68">
        <v>974.12896405919673</v>
      </c>
      <c r="CD69" s="68">
        <v>1010.476532769556</v>
      </c>
      <c r="CE69" s="68">
        <v>1046.8241014799155</v>
      </c>
      <c r="CF69" s="68">
        <v>1083.1716701902749</v>
      </c>
      <c r="CG69" s="68">
        <v>1119.5192389006343</v>
      </c>
      <c r="CH69" s="87">
        <v>129000</v>
      </c>
      <c r="CI69" s="467">
        <v>131100</v>
      </c>
      <c r="CJ69" s="467">
        <v>133249.12600000008</v>
      </c>
      <c r="CK69" s="467">
        <v>135312.40500000003</v>
      </c>
      <c r="CL69" s="468">
        <v>137386.44399999993</v>
      </c>
      <c r="CM69" s="19" t="s">
        <v>258</v>
      </c>
      <c r="CN69" s="70">
        <v>175</v>
      </c>
      <c r="CO69" s="70">
        <v>190</v>
      </c>
      <c r="CP69" s="70">
        <v>183</v>
      </c>
      <c r="CQ69" s="70">
        <v>194</v>
      </c>
      <c r="CR69" s="70">
        <v>195</v>
      </c>
      <c r="CS69" s="70">
        <v>207</v>
      </c>
      <c r="CT69" s="70">
        <v>188</v>
      </c>
      <c r="CU69" s="70">
        <v>204</v>
      </c>
      <c r="CV69" s="70">
        <v>231</v>
      </c>
      <c r="CW69" s="70">
        <v>168</v>
      </c>
      <c r="CX69" s="70">
        <v>157</v>
      </c>
      <c r="CY69" s="70">
        <v>137</v>
      </c>
      <c r="CZ69" s="70">
        <v>111</v>
      </c>
      <c r="DA69" s="70">
        <v>162</v>
      </c>
      <c r="DB69" s="70">
        <v>135</v>
      </c>
      <c r="DC69" s="70">
        <v>138</v>
      </c>
      <c r="DD69" s="70">
        <v>150</v>
      </c>
      <c r="DE69" s="70">
        <v>141</v>
      </c>
      <c r="DF69" s="70">
        <v>148</v>
      </c>
      <c r="DG69" s="70">
        <v>151</v>
      </c>
      <c r="DH69" s="70">
        <v>153</v>
      </c>
      <c r="DI69" s="70">
        <v>169</v>
      </c>
      <c r="DJ69" s="70">
        <v>112</v>
      </c>
      <c r="DK69" s="70">
        <v>152</v>
      </c>
      <c r="DL69" s="46">
        <v>173</v>
      </c>
      <c r="DM69" s="46">
        <v>165</v>
      </c>
      <c r="DN69" s="46">
        <v>154</v>
      </c>
      <c r="DO69" s="46">
        <v>167</v>
      </c>
      <c r="DP69" s="46">
        <v>149</v>
      </c>
      <c r="DQ69" s="46">
        <v>177</v>
      </c>
      <c r="DR69" s="46">
        <v>181</v>
      </c>
      <c r="DS69" s="46">
        <v>175</v>
      </c>
      <c r="DT69" s="46">
        <v>193</v>
      </c>
      <c r="DU69" s="46">
        <v>196</v>
      </c>
      <c r="DV69" s="46">
        <v>212</v>
      </c>
      <c r="DW69" s="46">
        <v>180</v>
      </c>
      <c r="DX69" s="46">
        <v>195</v>
      </c>
      <c r="DY69" s="46">
        <v>179</v>
      </c>
      <c r="DZ69" s="46">
        <v>204</v>
      </c>
      <c r="EA69" s="46">
        <v>233</v>
      </c>
      <c r="EB69" s="46">
        <v>237</v>
      </c>
      <c r="EC69" s="46">
        <v>207</v>
      </c>
      <c r="ED69" s="46">
        <v>204</v>
      </c>
      <c r="EE69" s="46">
        <v>223</v>
      </c>
      <c r="EF69" s="46">
        <v>253</v>
      </c>
      <c r="EG69" s="46">
        <v>243</v>
      </c>
      <c r="EH69" s="46">
        <v>200</v>
      </c>
      <c r="EI69" s="46">
        <v>208</v>
      </c>
      <c r="EJ69" s="46">
        <v>217</v>
      </c>
      <c r="EK69" s="46">
        <v>219</v>
      </c>
      <c r="EL69" s="46">
        <v>190</v>
      </c>
      <c r="EM69" s="46">
        <v>209</v>
      </c>
      <c r="EN69" s="46">
        <v>197</v>
      </c>
      <c r="EO69" s="46">
        <v>203</v>
      </c>
      <c r="EP69" s="46">
        <v>194</v>
      </c>
      <c r="EQ69" s="46">
        <v>204</v>
      </c>
      <c r="ER69" s="46">
        <v>225</v>
      </c>
      <c r="ES69" s="46">
        <v>203</v>
      </c>
      <c r="ET69" s="46">
        <v>651</v>
      </c>
      <c r="EU69" s="46">
        <v>626</v>
      </c>
      <c r="EV69" s="46">
        <v>609</v>
      </c>
      <c r="EW69" s="46">
        <v>623</v>
      </c>
      <c r="EX69" s="71">
        <v>648.35676274262516</v>
      </c>
      <c r="EY69" s="71">
        <v>657.02205543080379</v>
      </c>
      <c r="EZ69" s="71">
        <v>665.68734811898241</v>
      </c>
      <c r="FA69" s="71">
        <v>674.35264080716104</v>
      </c>
      <c r="FB69" s="71">
        <v>683.01793349533978</v>
      </c>
      <c r="FC69" s="71">
        <v>691.6832261835184</v>
      </c>
      <c r="FD69" s="71">
        <v>700.34851887169702</v>
      </c>
      <c r="FE69" s="71">
        <v>709.01381155987576</v>
      </c>
      <c r="FF69" s="72">
        <v>160436</v>
      </c>
      <c r="FG69" s="72">
        <v>163906</v>
      </c>
      <c r="FH69" s="476">
        <v>166793</v>
      </c>
      <c r="FI69" s="476">
        <v>169696.73</v>
      </c>
      <c r="FJ69" s="476">
        <v>172516.65599999999</v>
      </c>
      <c r="FK69" s="476">
        <v>175417.54399999999</v>
      </c>
    </row>
    <row r="70" spans="1:167">
      <c r="A70" s="73" t="s">
        <v>920</v>
      </c>
      <c r="B70" s="19" t="s">
        <v>921</v>
      </c>
      <c r="C70" s="74" t="s">
        <v>715</v>
      </c>
      <c r="D70" s="75" t="s">
        <v>261</v>
      </c>
      <c r="E70" s="76">
        <v>440</v>
      </c>
      <c r="F70" s="77">
        <v>375</v>
      </c>
      <c r="G70" s="410">
        <v>360</v>
      </c>
      <c r="H70" s="78">
        <v>64740</v>
      </c>
      <c r="I70" s="77">
        <v>67460</v>
      </c>
      <c r="J70" s="410">
        <v>69640</v>
      </c>
      <c r="K70" s="410">
        <v>71381.403000000006</v>
      </c>
      <c r="L70" s="418">
        <v>73109.429999999993</v>
      </c>
      <c r="M70" s="79">
        <v>681.2</v>
      </c>
      <c r="N70" s="80">
        <v>555.9</v>
      </c>
      <c r="O70" s="421">
        <v>533.6</v>
      </c>
      <c r="P70" s="71">
        <v>367</v>
      </c>
      <c r="Q70" s="75" t="s">
        <v>261</v>
      </c>
      <c r="R70" s="81">
        <v>100</v>
      </c>
      <c r="S70" s="77">
        <v>135</v>
      </c>
      <c r="T70" s="452">
        <v>160</v>
      </c>
      <c r="U70" s="77">
        <v>110</v>
      </c>
      <c r="V70" s="77">
        <v>155</v>
      </c>
      <c r="W70" s="452">
        <v>175</v>
      </c>
      <c r="X70" s="82">
        <v>92.6</v>
      </c>
      <c r="Y70" s="83">
        <v>88.9</v>
      </c>
      <c r="Z70" s="443">
        <v>89.8</v>
      </c>
      <c r="AA70" s="63">
        <v>178</v>
      </c>
      <c r="AB70" s="63">
        <v>190</v>
      </c>
      <c r="AC70" s="19" t="s">
        <v>261</v>
      </c>
      <c r="AD70" s="84">
        <v>318</v>
      </c>
      <c r="AE70" s="85">
        <v>310</v>
      </c>
      <c r="AF70" s="85">
        <v>328</v>
      </c>
      <c r="AG70" s="85">
        <v>315</v>
      </c>
      <c r="AH70" s="85">
        <v>233</v>
      </c>
      <c r="AI70" s="85">
        <v>363</v>
      </c>
      <c r="AJ70" s="85">
        <v>299</v>
      </c>
      <c r="AK70" s="85">
        <v>234</v>
      </c>
      <c r="AL70" s="96">
        <v>259</v>
      </c>
      <c r="AM70" s="96">
        <v>494</v>
      </c>
      <c r="AN70" s="96">
        <v>277</v>
      </c>
      <c r="AO70" s="96">
        <v>357</v>
      </c>
      <c r="AP70" s="96">
        <v>499</v>
      </c>
      <c r="AQ70" s="96">
        <v>388</v>
      </c>
      <c r="AR70" s="96">
        <v>475</v>
      </c>
      <c r="AS70" s="96">
        <v>403</v>
      </c>
      <c r="AT70" s="96">
        <v>378</v>
      </c>
      <c r="AU70" s="96">
        <v>489</v>
      </c>
      <c r="AV70" s="96">
        <v>418</v>
      </c>
      <c r="AW70" s="96">
        <v>883</v>
      </c>
      <c r="AX70" s="97">
        <v>745</v>
      </c>
      <c r="AY70" s="97">
        <v>1011</v>
      </c>
      <c r="AZ70" s="97">
        <v>1169</v>
      </c>
      <c r="BA70" s="97">
        <v>1424</v>
      </c>
      <c r="BB70" s="97">
        <v>1046</v>
      </c>
      <c r="BC70" s="97">
        <v>933</v>
      </c>
      <c r="BD70" s="87">
        <v>910</v>
      </c>
      <c r="BE70" s="87">
        <v>861</v>
      </c>
      <c r="BF70" s="87">
        <v>802</v>
      </c>
      <c r="BG70" s="87">
        <v>718</v>
      </c>
      <c r="BH70" s="87">
        <v>1115</v>
      </c>
      <c r="BI70" s="87">
        <v>1365</v>
      </c>
      <c r="BJ70" s="87">
        <v>1468</v>
      </c>
      <c r="BK70" s="87">
        <v>1436</v>
      </c>
      <c r="BL70" s="87">
        <v>1261</v>
      </c>
      <c r="BM70" s="87">
        <v>931</v>
      </c>
      <c r="BN70" s="87">
        <v>1110</v>
      </c>
      <c r="BO70" s="87">
        <v>1020</v>
      </c>
      <c r="BP70" s="87">
        <v>865</v>
      </c>
      <c r="BQ70" s="87">
        <v>936</v>
      </c>
      <c r="BR70" s="96">
        <v>716</v>
      </c>
      <c r="BS70" s="96">
        <v>628</v>
      </c>
      <c r="BT70" s="96">
        <v>662</v>
      </c>
      <c r="BU70" s="96">
        <v>701</v>
      </c>
      <c r="BV70" s="67">
        <v>4165</v>
      </c>
      <c r="BW70" s="67">
        <v>3061</v>
      </c>
      <c r="BX70" s="67">
        <v>2517</v>
      </c>
      <c r="BY70" s="67">
        <v>1991</v>
      </c>
      <c r="BZ70" s="68">
        <v>3577.4033826638479</v>
      </c>
      <c r="CA70" s="68">
        <v>3759.4539112050738</v>
      </c>
      <c r="CB70" s="68">
        <v>3941.5044397463002</v>
      </c>
      <c r="CC70" s="68">
        <v>4123.5549682875262</v>
      </c>
      <c r="CD70" s="68">
        <v>4305.6054968287535</v>
      </c>
      <c r="CE70" s="68">
        <v>4487.656025369979</v>
      </c>
      <c r="CF70" s="68">
        <v>4669.7065539112054</v>
      </c>
      <c r="CG70" s="68">
        <v>4851.7570824524319</v>
      </c>
      <c r="CH70" s="87">
        <v>328200</v>
      </c>
      <c r="CI70" s="467">
        <v>330310</v>
      </c>
      <c r="CJ70" s="467">
        <v>332800.25099999993</v>
      </c>
      <c r="CK70" s="467">
        <v>335160.77300000016</v>
      </c>
      <c r="CL70" s="468">
        <v>337499.12800000008</v>
      </c>
      <c r="CM70" s="19" t="s">
        <v>261</v>
      </c>
      <c r="CN70" s="70">
        <v>720</v>
      </c>
      <c r="CO70" s="70">
        <v>662</v>
      </c>
      <c r="CP70" s="70">
        <v>620</v>
      </c>
      <c r="CQ70" s="70">
        <v>643</v>
      </c>
      <c r="CR70" s="70">
        <v>562</v>
      </c>
      <c r="CS70" s="70">
        <v>679</v>
      </c>
      <c r="CT70" s="70">
        <v>727</v>
      </c>
      <c r="CU70" s="70">
        <v>819</v>
      </c>
      <c r="CV70" s="70">
        <v>842</v>
      </c>
      <c r="CW70" s="70">
        <v>658</v>
      </c>
      <c r="CX70" s="70">
        <v>727</v>
      </c>
      <c r="CY70" s="70">
        <v>761</v>
      </c>
      <c r="CZ70" s="70">
        <v>704</v>
      </c>
      <c r="DA70" s="70">
        <v>751</v>
      </c>
      <c r="DB70" s="70">
        <v>675</v>
      </c>
      <c r="DC70" s="70">
        <v>700</v>
      </c>
      <c r="DD70" s="70">
        <v>626</v>
      </c>
      <c r="DE70" s="70">
        <v>684</v>
      </c>
      <c r="DF70" s="70">
        <v>776</v>
      </c>
      <c r="DG70" s="70">
        <v>786</v>
      </c>
      <c r="DH70" s="70">
        <v>1020</v>
      </c>
      <c r="DI70" s="70">
        <v>867</v>
      </c>
      <c r="DJ70" s="70">
        <v>821</v>
      </c>
      <c r="DK70" s="70">
        <v>790</v>
      </c>
      <c r="DL70" s="46">
        <v>782</v>
      </c>
      <c r="DM70" s="46">
        <v>766</v>
      </c>
      <c r="DN70" s="46">
        <v>691</v>
      </c>
      <c r="DO70" s="46">
        <v>737</v>
      </c>
      <c r="DP70" s="46">
        <v>651</v>
      </c>
      <c r="DQ70" s="46">
        <v>709</v>
      </c>
      <c r="DR70" s="46">
        <v>788</v>
      </c>
      <c r="DS70" s="46">
        <v>849</v>
      </c>
      <c r="DT70" s="46">
        <v>918</v>
      </c>
      <c r="DU70" s="46">
        <v>866</v>
      </c>
      <c r="DV70" s="46">
        <v>936</v>
      </c>
      <c r="DW70" s="46">
        <v>803</v>
      </c>
      <c r="DX70" s="46">
        <v>829</v>
      </c>
      <c r="DY70" s="46">
        <v>825</v>
      </c>
      <c r="DZ70" s="46">
        <v>841</v>
      </c>
      <c r="EA70" s="46">
        <v>875</v>
      </c>
      <c r="EB70" s="46">
        <v>798</v>
      </c>
      <c r="EC70" s="46">
        <v>774</v>
      </c>
      <c r="ED70" s="46">
        <v>913</v>
      </c>
      <c r="EE70" s="46">
        <v>991</v>
      </c>
      <c r="EF70" s="46">
        <v>1077</v>
      </c>
      <c r="EG70" s="46">
        <v>873</v>
      </c>
      <c r="EH70" s="46">
        <v>854</v>
      </c>
      <c r="EI70" s="46">
        <v>952</v>
      </c>
      <c r="EJ70" s="46">
        <v>891</v>
      </c>
      <c r="EK70" s="46">
        <v>846</v>
      </c>
      <c r="EL70" s="46">
        <v>759</v>
      </c>
      <c r="EM70" s="46">
        <v>797</v>
      </c>
      <c r="EN70" s="46">
        <v>709</v>
      </c>
      <c r="EO70" s="46">
        <v>720</v>
      </c>
      <c r="EP70" s="46">
        <v>871</v>
      </c>
      <c r="EQ70" s="46">
        <v>830</v>
      </c>
      <c r="ER70" s="46">
        <v>1028</v>
      </c>
      <c r="ES70" s="46">
        <v>779</v>
      </c>
      <c r="ET70" s="46">
        <v>2679</v>
      </c>
      <c r="EU70" s="46">
        <v>2496</v>
      </c>
      <c r="EV70" s="46">
        <v>2226</v>
      </c>
      <c r="EW70" s="46">
        <v>2729</v>
      </c>
      <c r="EX70" s="71">
        <v>2727.991387000523</v>
      </c>
      <c r="EY70" s="71">
        <v>2760.4256052170167</v>
      </c>
      <c r="EZ70" s="71">
        <v>2792.8598234335104</v>
      </c>
      <c r="FA70" s="71">
        <v>2825.2940416500046</v>
      </c>
      <c r="FB70" s="71">
        <v>2857.7282598664983</v>
      </c>
      <c r="FC70" s="71">
        <v>2890.1624780829925</v>
      </c>
      <c r="FD70" s="71">
        <v>2922.5966962994862</v>
      </c>
      <c r="FE70" s="71">
        <v>2955.0309145159799</v>
      </c>
      <c r="FF70" s="72">
        <v>422970</v>
      </c>
      <c r="FG70" s="72">
        <v>425517</v>
      </c>
      <c r="FH70" s="476">
        <v>428279</v>
      </c>
      <c r="FI70" s="476">
        <v>431002.19199999998</v>
      </c>
      <c r="FJ70" s="476">
        <v>433836.16499999998</v>
      </c>
      <c r="FK70" s="476">
        <v>436787.67499999999</v>
      </c>
    </row>
    <row r="71" spans="1:167">
      <c r="A71" s="73" t="s">
        <v>948</v>
      </c>
      <c r="B71" s="19" t="s">
        <v>949</v>
      </c>
      <c r="C71" s="74" t="s">
        <v>716</v>
      </c>
      <c r="D71" s="75" t="s">
        <v>264</v>
      </c>
      <c r="E71" s="76">
        <v>200</v>
      </c>
      <c r="F71" s="77">
        <v>195</v>
      </c>
      <c r="G71" s="410">
        <v>210</v>
      </c>
      <c r="H71" s="78">
        <v>23095</v>
      </c>
      <c r="I71" s="77">
        <v>23670</v>
      </c>
      <c r="J71" s="410">
        <v>24037</v>
      </c>
      <c r="K71" s="410">
        <v>24360.419000000002</v>
      </c>
      <c r="L71" s="418">
        <v>24732.466999999993</v>
      </c>
      <c r="M71" s="79">
        <v>866.1</v>
      </c>
      <c r="N71" s="80">
        <v>819.5</v>
      </c>
      <c r="O71" s="421">
        <v>882.9</v>
      </c>
      <c r="P71" s="71">
        <v>181</v>
      </c>
      <c r="Q71" s="75" t="s">
        <v>264</v>
      </c>
      <c r="R71" s="81">
        <v>90</v>
      </c>
      <c r="S71" s="77">
        <v>70</v>
      </c>
      <c r="T71" s="452">
        <v>90</v>
      </c>
      <c r="U71" s="77">
        <v>115</v>
      </c>
      <c r="V71" s="77">
        <v>95</v>
      </c>
      <c r="W71" s="452">
        <v>115</v>
      </c>
      <c r="X71" s="82">
        <v>79.8</v>
      </c>
      <c r="Y71" s="83">
        <v>75.3</v>
      </c>
      <c r="Z71" s="443">
        <v>77.599999999999994</v>
      </c>
      <c r="AA71" s="63">
        <v>84</v>
      </c>
      <c r="AB71" s="63">
        <v>100</v>
      </c>
      <c r="AC71" s="19" t="s">
        <v>264</v>
      </c>
      <c r="AD71" s="84">
        <v>110</v>
      </c>
      <c r="AE71" s="85">
        <v>405</v>
      </c>
      <c r="AF71" s="85">
        <v>178</v>
      </c>
      <c r="AG71" s="85">
        <v>63</v>
      </c>
      <c r="AH71" s="85">
        <v>144</v>
      </c>
      <c r="AI71" s="85">
        <v>102</v>
      </c>
      <c r="AJ71" s="85">
        <v>163</v>
      </c>
      <c r="AK71" s="85">
        <v>291</v>
      </c>
      <c r="AL71" s="96">
        <v>133</v>
      </c>
      <c r="AM71" s="96">
        <v>212</v>
      </c>
      <c r="AN71" s="96">
        <v>217</v>
      </c>
      <c r="AO71" s="96">
        <v>149</v>
      </c>
      <c r="AP71" s="96">
        <v>181</v>
      </c>
      <c r="AQ71" s="96">
        <v>202</v>
      </c>
      <c r="AR71" s="96">
        <v>236</v>
      </c>
      <c r="AS71" s="96">
        <v>272</v>
      </c>
      <c r="AT71" s="96">
        <v>180</v>
      </c>
      <c r="AU71" s="96">
        <v>177</v>
      </c>
      <c r="AV71" s="96">
        <v>143</v>
      </c>
      <c r="AW71" s="96">
        <v>212</v>
      </c>
      <c r="AX71" s="97">
        <v>131</v>
      </c>
      <c r="AY71" s="97">
        <v>172</v>
      </c>
      <c r="AZ71" s="97">
        <v>116</v>
      </c>
      <c r="BA71" s="97">
        <v>218</v>
      </c>
      <c r="BB71" s="97">
        <v>192</v>
      </c>
      <c r="BC71" s="97">
        <v>145</v>
      </c>
      <c r="BD71" s="87">
        <v>102</v>
      </c>
      <c r="BE71" s="87">
        <v>132</v>
      </c>
      <c r="BF71" s="87">
        <v>182</v>
      </c>
      <c r="BG71" s="87">
        <v>318</v>
      </c>
      <c r="BH71" s="87">
        <v>189</v>
      </c>
      <c r="BI71" s="87">
        <v>189</v>
      </c>
      <c r="BJ71" s="87">
        <v>162</v>
      </c>
      <c r="BK71" s="87">
        <v>268</v>
      </c>
      <c r="BL71" s="87">
        <v>157</v>
      </c>
      <c r="BM71" s="87">
        <v>172</v>
      </c>
      <c r="BN71" s="87">
        <v>213</v>
      </c>
      <c r="BO71" s="87">
        <v>135</v>
      </c>
      <c r="BP71" s="87">
        <v>220</v>
      </c>
      <c r="BQ71" s="87">
        <v>308</v>
      </c>
      <c r="BR71" s="96">
        <v>220</v>
      </c>
      <c r="BS71" s="96">
        <v>290</v>
      </c>
      <c r="BT71" s="96">
        <v>295</v>
      </c>
      <c r="BU71" s="96">
        <v>154</v>
      </c>
      <c r="BV71" s="67">
        <v>587</v>
      </c>
      <c r="BW71" s="67">
        <v>520</v>
      </c>
      <c r="BX71" s="67">
        <v>748</v>
      </c>
      <c r="BY71" s="67">
        <v>739</v>
      </c>
      <c r="BZ71" s="68">
        <v>646.15940803382659</v>
      </c>
      <c r="CA71" s="68">
        <v>655.09852008456653</v>
      </c>
      <c r="CB71" s="68">
        <v>664.03763213530647</v>
      </c>
      <c r="CC71" s="68">
        <v>672.97674418604652</v>
      </c>
      <c r="CD71" s="68">
        <v>681.91585623678645</v>
      </c>
      <c r="CE71" s="68">
        <v>690.85496828752639</v>
      </c>
      <c r="CF71" s="68">
        <v>699.79408033826633</v>
      </c>
      <c r="CG71" s="68">
        <v>708.73319238900626</v>
      </c>
      <c r="CH71" s="87">
        <v>113500</v>
      </c>
      <c r="CI71" s="467">
        <v>113703</v>
      </c>
      <c r="CJ71" s="467">
        <v>113862.85600000003</v>
      </c>
      <c r="CK71" s="467">
        <v>114107.58100000002</v>
      </c>
      <c r="CL71" s="468">
        <v>114223.10900000001</v>
      </c>
      <c r="CM71" s="19" t="s">
        <v>264</v>
      </c>
      <c r="CN71" s="70">
        <v>411</v>
      </c>
      <c r="CO71" s="70">
        <v>393</v>
      </c>
      <c r="CP71" s="70">
        <v>411</v>
      </c>
      <c r="CQ71" s="70">
        <v>399</v>
      </c>
      <c r="CR71" s="70">
        <v>360</v>
      </c>
      <c r="CS71" s="70">
        <v>394</v>
      </c>
      <c r="CT71" s="70">
        <v>450</v>
      </c>
      <c r="CU71" s="70">
        <v>464</v>
      </c>
      <c r="CV71" s="70">
        <v>498</v>
      </c>
      <c r="CW71" s="70">
        <v>421</v>
      </c>
      <c r="CX71" s="70">
        <v>385</v>
      </c>
      <c r="CY71" s="70">
        <v>495</v>
      </c>
      <c r="CZ71" s="70">
        <v>440</v>
      </c>
      <c r="DA71" s="70">
        <v>415</v>
      </c>
      <c r="DB71" s="70">
        <v>367</v>
      </c>
      <c r="DC71" s="70">
        <v>378</v>
      </c>
      <c r="DD71" s="70">
        <v>391</v>
      </c>
      <c r="DE71" s="70">
        <v>421</v>
      </c>
      <c r="DF71" s="70">
        <v>395</v>
      </c>
      <c r="DG71" s="70">
        <v>456</v>
      </c>
      <c r="DH71" s="70">
        <v>570</v>
      </c>
      <c r="DI71" s="70">
        <v>517</v>
      </c>
      <c r="DJ71" s="70">
        <v>394</v>
      </c>
      <c r="DK71" s="70">
        <v>409</v>
      </c>
      <c r="DL71" s="46">
        <v>329</v>
      </c>
      <c r="DM71" s="46">
        <v>343</v>
      </c>
      <c r="DN71" s="46">
        <v>321</v>
      </c>
      <c r="DO71" s="46">
        <v>264</v>
      </c>
      <c r="DP71" s="46">
        <v>353</v>
      </c>
      <c r="DQ71" s="46">
        <v>295</v>
      </c>
      <c r="DR71" s="46">
        <v>335</v>
      </c>
      <c r="DS71" s="46">
        <v>316</v>
      </c>
      <c r="DT71" s="46">
        <v>385</v>
      </c>
      <c r="DU71" s="46">
        <v>366</v>
      </c>
      <c r="DV71" s="46">
        <v>372</v>
      </c>
      <c r="DW71" s="46">
        <v>411</v>
      </c>
      <c r="DX71" s="46">
        <v>375</v>
      </c>
      <c r="DY71" s="46">
        <v>360</v>
      </c>
      <c r="DZ71" s="46">
        <v>335</v>
      </c>
      <c r="EA71" s="46">
        <v>400</v>
      </c>
      <c r="EB71" s="46">
        <v>374</v>
      </c>
      <c r="EC71" s="46">
        <v>349</v>
      </c>
      <c r="ED71" s="46">
        <v>406</v>
      </c>
      <c r="EE71" s="46">
        <v>418</v>
      </c>
      <c r="EF71" s="46">
        <v>412</v>
      </c>
      <c r="EG71" s="46">
        <v>413</v>
      </c>
      <c r="EH71" s="46">
        <v>381</v>
      </c>
      <c r="EI71" s="46">
        <v>402</v>
      </c>
      <c r="EJ71" s="46">
        <v>395</v>
      </c>
      <c r="EK71" s="46">
        <v>384</v>
      </c>
      <c r="EL71" s="46">
        <v>325</v>
      </c>
      <c r="EM71" s="46">
        <v>378</v>
      </c>
      <c r="EN71" s="46">
        <v>357</v>
      </c>
      <c r="EO71" s="46">
        <v>351</v>
      </c>
      <c r="EP71" s="46">
        <v>384</v>
      </c>
      <c r="EQ71" s="46">
        <v>399</v>
      </c>
      <c r="ER71" s="46">
        <v>468</v>
      </c>
      <c r="ES71" s="46">
        <v>335</v>
      </c>
      <c r="ET71" s="46">
        <v>1196</v>
      </c>
      <c r="EU71" s="46">
        <v>1104</v>
      </c>
      <c r="EV71" s="46">
        <v>1086</v>
      </c>
      <c r="EW71" s="46">
        <v>1251</v>
      </c>
      <c r="EX71" s="71">
        <v>1084.6851641084008</v>
      </c>
      <c r="EY71" s="71">
        <v>1076.3086222276909</v>
      </c>
      <c r="EZ71" s="71">
        <v>1067.9320803469809</v>
      </c>
      <c r="FA71" s="71">
        <v>1059.5555384662707</v>
      </c>
      <c r="FB71" s="71">
        <v>1051.178996585561</v>
      </c>
      <c r="FC71" s="71">
        <v>1042.802454704851</v>
      </c>
      <c r="FD71" s="71">
        <v>1034.4259128241411</v>
      </c>
      <c r="FE71" s="71">
        <v>1026.0493709434311</v>
      </c>
      <c r="FF71" s="72">
        <v>145903</v>
      </c>
      <c r="FG71" s="72">
        <v>145936</v>
      </c>
      <c r="FH71" s="476">
        <v>146086</v>
      </c>
      <c r="FI71" s="476">
        <v>145955.079</v>
      </c>
      <c r="FJ71" s="476">
        <v>146038.89300000001</v>
      </c>
      <c r="FK71" s="476">
        <v>146149.61799999999</v>
      </c>
    </row>
    <row r="72" spans="1:167">
      <c r="A72" s="73" t="s">
        <v>907</v>
      </c>
      <c r="B72" s="19" t="s">
        <v>908</v>
      </c>
      <c r="C72" s="74" t="s">
        <v>717</v>
      </c>
      <c r="D72" s="75" t="s">
        <v>267</v>
      </c>
      <c r="E72" s="76">
        <v>185</v>
      </c>
      <c r="F72" s="77">
        <v>175</v>
      </c>
      <c r="G72" s="410">
        <v>185</v>
      </c>
      <c r="H72" s="78">
        <v>23225</v>
      </c>
      <c r="I72" s="77">
        <v>23735</v>
      </c>
      <c r="J72" s="410">
        <v>24239</v>
      </c>
      <c r="K72" s="410">
        <v>24263.491000000002</v>
      </c>
      <c r="L72" s="418">
        <v>24610.716</v>
      </c>
      <c r="M72" s="79">
        <v>805.1</v>
      </c>
      <c r="N72" s="80">
        <v>728.8</v>
      </c>
      <c r="O72" s="421">
        <v>775.2</v>
      </c>
      <c r="P72" s="71">
        <v>160</v>
      </c>
      <c r="Q72" s="75" t="s">
        <v>267</v>
      </c>
      <c r="R72" s="81">
        <v>175</v>
      </c>
      <c r="S72" s="77">
        <v>235</v>
      </c>
      <c r="T72" s="452">
        <v>305</v>
      </c>
      <c r="U72" s="77">
        <v>195</v>
      </c>
      <c r="V72" s="77">
        <v>250</v>
      </c>
      <c r="W72" s="452">
        <v>320</v>
      </c>
      <c r="X72" s="82">
        <v>89.3</v>
      </c>
      <c r="Y72" s="83">
        <v>92.9</v>
      </c>
      <c r="Z72" s="443">
        <v>95.6</v>
      </c>
      <c r="AA72" s="63">
        <v>332</v>
      </c>
      <c r="AB72" s="63">
        <v>354</v>
      </c>
      <c r="AC72" s="19" t="s">
        <v>267</v>
      </c>
      <c r="AD72" s="84">
        <v>310</v>
      </c>
      <c r="AE72" s="85">
        <v>298</v>
      </c>
      <c r="AF72" s="85">
        <v>477</v>
      </c>
      <c r="AG72" s="85">
        <v>449</v>
      </c>
      <c r="AH72" s="85">
        <v>284</v>
      </c>
      <c r="AI72" s="85">
        <v>173</v>
      </c>
      <c r="AJ72" s="85">
        <v>225</v>
      </c>
      <c r="AK72" s="85">
        <v>308</v>
      </c>
      <c r="AL72" s="96">
        <v>289</v>
      </c>
      <c r="AM72" s="96">
        <v>319</v>
      </c>
      <c r="AN72" s="96">
        <v>335</v>
      </c>
      <c r="AO72" s="96">
        <v>444</v>
      </c>
      <c r="AP72" s="96">
        <v>371</v>
      </c>
      <c r="AQ72" s="96">
        <v>332</v>
      </c>
      <c r="AR72" s="96">
        <v>266</v>
      </c>
      <c r="AS72" s="96">
        <v>338</v>
      </c>
      <c r="AT72" s="96">
        <v>280</v>
      </c>
      <c r="AU72" s="96">
        <v>321</v>
      </c>
      <c r="AV72" s="96">
        <v>514</v>
      </c>
      <c r="AW72" s="96">
        <v>491</v>
      </c>
      <c r="AX72" s="97">
        <v>593</v>
      </c>
      <c r="AY72" s="97">
        <v>375</v>
      </c>
      <c r="AZ72" s="97">
        <v>459</v>
      </c>
      <c r="BA72" s="97">
        <v>473</v>
      </c>
      <c r="BB72" s="97">
        <v>460</v>
      </c>
      <c r="BC72" s="97">
        <v>418</v>
      </c>
      <c r="BD72" s="87">
        <v>424</v>
      </c>
      <c r="BE72" s="87">
        <v>368</v>
      </c>
      <c r="BF72" s="87">
        <v>928</v>
      </c>
      <c r="BG72" s="87">
        <v>914</v>
      </c>
      <c r="BH72" s="87">
        <v>737</v>
      </c>
      <c r="BI72" s="87">
        <v>853</v>
      </c>
      <c r="BJ72" s="87">
        <v>830</v>
      </c>
      <c r="BK72" s="87">
        <v>647</v>
      </c>
      <c r="BL72" s="87">
        <v>576</v>
      </c>
      <c r="BM72" s="87">
        <v>561</v>
      </c>
      <c r="BN72" s="87">
        <v>741</v>
      </c>
      <c r="BO72" s="87">
        <v>759</v>
      </c>
      <c r="BP72" s="87">
        <v>779</v>
      </c>
      <c r="BQ72" s="87">
        <v>912</v>
      </c>
      <c r="BR72" s="96">
        <v>559</v>
      </c>
      <c r="BS72" s="96">
        <v>494</v>
      </c>
      <c r="BT72" s="96">
        <v>438</v>
      </c>
      <c r="BU72" s="96">
        <v>450</v>
      </c>
      <c r="BV72" s="67">
        <v>2053</v>
      </c>
      <c r="BW72" s="67">
        <v>2061</v>
      </c>
      <c r="BX72" s="67">
        <v>2250</v>
      </c>
      <c r="BY72" s="67">
        <v>1382</v>
      </c>
      <c r="BZ72" s="68">
        <v>2220.324101479916</v>
      </c>
      <c r="CA72" s="68">
        <v>2316.0057082452431</v>
      </c>
      <c r="CB72" s="68">
        <v>2411.6873150105712</v>
      </c>
      <c r="CC72" s="68">
        <v>2507.3689217758983</v>
      </c>
      <c r="CD72" s="68">
        <v>2603.0505285412264</v>
      </c>
      <c r="CE72" s="68">
        <v>2698.732135306554</v>
      </c>
      <c r="CF72" s="68">
        <v>2794.4137420718816</v>
      </c>
      <c r="CG72" s="68">
        <v>2890.0953488372097</v>
      </c>
      <c r="CH72" s="87">
        <v>248800</v>
      </c>
      <c r="CI72" s="467">
        <v>252274</v>
      </c>
      <c r="CJ72" s="467">
        <v>255814.147</v>
      </c>
      <c r="CK72" s="467">
        <v>258981.95000000004</v>
      </c>
      <c r="CL72" s="468">
        <v>262285.44100000005</v>
      </c>
      <c r="CM72" s="19" t="s">
        <v>267</v>
      </c>
      <c r="CN72" s="70">
        <v>349</v>
      </c>
      <c r="CO72" s="70">
        <v>358</v>
      </c>
      <c r="CP72" s="70">
        <v>363</v>
      </c>
      <c r="CQ72" s="70">
        <v>384</v>
      </c>
      <c r="CR72" s="70">
        <v>336</v>
      </c>
      <c r="CS72" s="70">
        <v>329</v>
      </c>
      <c r="CT72" s="70">
        <v>368</v>
      </c>
      <c r="CU72" s="70">
        <v>400</v>
      </c>
      <c r="CV72" s="70">
        <v>442</v>
      </c>
      <c r="CW72" s="70">
        <v>418</v>
      </c>
      <c r="CX72" s="70">
        <v>389</v>
      </c>
      <c r="CY72" s="70">
        <v>352</v>
      </c>
      <c r="CZ72" s="70">
        <v>360</v>
      </c>
      <c r="DA72" s="70">
        <v>407</v>
      </c>
      <c r="DB72" s="70">
        <v>374</v>
      </c>
      <c r="DC72" s="70">
        <v>344</v>
      </c>
      <c r="DD72" s="70">
        <v>374</v>
      </c>
      <c r="DE72" s="70">
        <v>376</v>
      </c>
      <c r="DF72" s="70">
        <v>357</v>
      </c>
      <c r="DG72" s="70">
        <v>400</v>
      </c>
      <c r="DH72" s="70">
        <v>514</v>
      </c>
      <c r="DI72" s="70">
        <v>443</v>
      </c>
      <c r="DJ72" s="70">
        <v>371</v>
      </c>
      <c r="DK72" s="70">
        <v>426</v>
      </c>
      <c r="DL72" s="46">
        <v>428</v>
      </c>
      <c r="DM72" s="46">
        <v>409</v>
      </c>
      <c r="DN72" s="46">
        <v>419</v>
      </c>
      <c r="DO72" s="46">
        <v>386</v>
      </c>
      <c r="DP72" s="46">
        <v>372</v>
      </c>
      <c r="DQ72" s="46">
        <v>397</v>
      </c>
      <c r="DR72" s="46">
        <v>420</v>
      </c>
      <c r="DS72" s="46">
        <v>478</v>
      </c>
      <c r="DT72" s="46">
        <v>469</v>
      </c>
      <c r="DU72" s="46">
        <v>478</v>
      </c>
      <c r="DV72" s="46">
        <v>458</v>
      </c>
      <c r="DW72" s="46">
        <v>399</v>
      </c>
      <c r="DX72" s="46">
        <v>426</v>
      </c>
      <c r="DY72" s="46">
        <v>421</v>
      </c>
      <c r="DZ72" s="46">
        <v>445</v>
      </c>
      <c r="EA72" s="46">
        <v>410</v>
      </c>
      <c r="EB72" s="46">
        <v>395</v>
      </c>
      <c r="EC72" s="46">
        <v>459</v>
      </c>
      <c r="ED72" s="46">
        <v>440</v>
      </c>
      <c r="EE72" s="46">
        <v>443</v>
      </c>
      <c r="EF72" s="46">
        <v>512</v>
      </c>
      <c r="EG72" s="46">
        <v>462</v>
      </c>
      <c r="EH72" s="46">
        <v>443</v>
      </c>
      <c r="EI72" s="46">
        <v>455</v>
      </c>
      <c r="EJ72" s="46">
        <v>469</v>
      </c>
      <c r="EK72" s="46">
        <v>433</v>
      </c>
      <c r="EL72" s="46">
        <v>415</v>
      </c>
      <c r="EM72" s="46">
        <v>428</v>
      </c>
      <c r="EN72" s="46">
        <v>370</v>
      </c>
      <c r="EO72" s="46">
        <v>477</v>
      </c>
      <c r="EP72" s="46">
        <v>445</v>
      </c>
      <c r="EQ72" s="46">
        <v>477</v>
      </c>
      <c r="ER72" s="46">
        <v>494</v>
      </c>
      <c r="ES72" s="46">
        <v>306</v>
      </c>
      <c r="ET72" s="46">
        <v>1360</v>
      </c>
      <c r="EU72" s="46">
        <v>1317</v>
      </c>
      <c r="EV72" s="46">
        <v>1275</v>
      </c>
      <c r="EW72" s="46">
        <v>1416</v>
      </c>
      <c r="EX72" s="71">
        <v>1388.4679011965918</v>
      </c>
      <c r="EY72" s="71">
        <v>1402.178996585561</v>
      </c>
      <c r="EZ72" s="71">
        <v>1415.8900919745302</v>
      </c>
      <c r="FA72" s="71">
        <v>1429.6011873634993</v>
      </c>
      <c r="FB72" s="71">
        <v>1443.3122827524685</v>
      </c>
      <c r="FC72" s="71">
        <v>1457.0233781414377</v>
      </c>
      <c r="FD72" s="71">
        <v>1470.7344735304068</v>
      </c>
      <c r="FE72" s="71">
        <v>1484.445568919376</v>
      </c>
      <c r="FF72" s="72">
        <v>304481</v>
      </c>
      <c r="FG72" s="72">
        <v>310200</v>
      </c>
      <c r="FH72" s="476">
        <v>314242</v>
      </c>
      <c r="FI72" s="476">
        <v>317737.67599999998</v>
      </c>
      <c r="FJ72" s="476">
        <v>321327.46899999998</v>
      </c>
      <c r="FK72" s="476">
        <v>325105.40399999998</v>
      </c>
    </row>
    <row r="73" spans="1:167">
      <c r="A73" s="73" t="s">
        <v>911</v>
      </c>
      <c r="B73" s="19" t="s">
        <v>912</v>
      </c>
      <c r="C73" s="74" t="s">
        <v>718</v>
      </c>
      <c r="D73" s="75" t="s">
        <v>270</v>
      </c>
      <c r="E73" s="76">
        <v>1970</v>
      </c>
      <c r="F73" s="77">
        <v>1940</v>
      </c>
      <c r="G73" s="410">
        <v>1810</v>
      </c>
      <c r="H73" s="78">
        <v>212930</v>
      </c>
      <c r="I73" s="77">
        <v>221035</v>
      </c>
      <c r="J73" s="410">
        <v>227263</v>
      </c>
      <c r="K73" s="410">
        <v>232529.48899999971</v>
      </c>
      <c r="L73" s="418">
        <v>237289.13199999995</v>
      </c>
      <c r="M73" s="79">
        <v>924.2</v>
      </c>
      <c r="N73" s="80">
        <v>876.8</v>
      </c>
      <c r="O73" s="421">
        <v>818.9</v>
      </c>
      <c r="P73" s="71">
        <v>1939</v>
      </c>
      <c r="Q73" s="75" t="s">
        <v>270</v>
      </c>
      <c r="R73" s="81">
        <v>410</v>
      </c>
      <c r="S73" s="77">
        <v>385</v>
      </c>
      <c r="T73" s="452">
        <v>445</v>
      </c>
      <c r="U73" s="77">
        <v>525</v>
      </c>
      <c r="V73" s="77">
        <v>470</v>
      </c>
      <c r="W73" s="452">
        <v>565</v>
      </c>
      <c r="X73" s="82">
        <v>78.099999999999994</v>
      </c>
      <c r="Y73" s="83">
        <v>82</v>
      </c>
      <c r="Z73" s="443">
        <v>78.8</v>
      </c>
      <c r="AA73" s="63">
        <v>464</v>
      </c>
      <c r="AB73" s="63">
        <v>566</v>
      </c>
      <c r="AC73" s="19" t="s">
        <v>270</v>
      </c>
      <c r="AD73" s="84">
        <v>1068</v>
      </c>
      <c r="AE73" s="85">
        <v>1107</v>
      </c>
      <c r="AF73" s="85">
        <v>865</v>
      </c>
      <c r="AG73" s="85">
        <v>2049</v>
      </c>
      <c r="AH73" s="85">
        <v>1944</v>
      </c>
      <c r="AI73" s="85">
        <v>2847</v>
      </c>
      <c r="AJ73" s="85">
        <v>1948</v>
      </c>
      <c r="AK73" s="85">
        <v>2179</v>
      </c>
      <c r="AL73" s="96">
        <v>2437</v>
      </c>
      <c r="AM73" s="96">
        <v>2125</v>
      </c>
      <c r="AN73" s="96">
        <v>2612</v>
      </c>
      <c r="AO73" s="96">
        <v>2146</v>
      </c>
      <c r="AP73" s="96">
        <v>2110</v>
      </c>
      <c r="AQ73" s="96">
        <v>2088</v>
      </c>
      <c r="AR73" s="96">
        <v>2341</v>
      </c>
      <c r="AS73" s="96">
        <v>2207</v>
      </c>
      <c r="AT73" s="96">
        <v>1734</v>
      </c>
      <c r="AU73" s="96">
        <v>2071</v>
      </c>
      <c r="AV73" s="96">
        <v>2469</v>
      </c>
      <c r="AW73" s="96">
        <v>2416</v>
      </c>
      <c r="AX73" s="97">
        <v>2045</v>
      </c>
      <c r="AY73" s="97">
        <v>2289</v>
      </c>
      <c r="AZ73" s="97">
        <v>2506</v>
      </c>
      <c r="BA73" s="97">
        <v>3012</v>
      </c>
      <c r="BB73" s="97">
        <v>2857</v>
      </c>
      <c r="BC73" s="97">
        <v>2448</v>
      </c>
      <c r="BD73" s="87">
        <v>2295</v>
      </c>
      <c r="BE73" s="87">
        <v>2256</v>
      </c>
      <c r="BF73" s="87">
        <v>1859</v>
      </c>
      <c r="BG73" s="87">
        <v>2509</v>
      </c>
      <c r="BH73" s="87">
        <v>2001</v>
      </c>
      <c r="BI73" s="87">
        <v>2394</v>
      </c>
      <c r="BJ73" s="87">
        <v>2134</v>
      </c>
      <c r="BK73" s="87">
        <v>2667</v>
      </c>
      <c r="BL73" s="87">
        <v>2505</v>
      </c>
      <c r="BM73" s="87">
        <v>2267</v>
      </c>
      <c r="BN73" s="87">
        <v>3018</v>
      </c>
      <c r="BO73" s="87">
        <v>2414</v>
      </c>
      <c r="BP73" s="87">
        <v>2341</v>
      </c>
      <c r="BQ73" s="87">
        <v>2691</v>
      </c>
      <c r="BR73" s="96">
        <v>2091</v>
      </c>
      <c r="BS73" s="96">
        <v>2462</v>
      </c>
      <c r="BT73" s="96">
        <v>2198</v>
      </c>
      <c r="BU73" s="96">
        <v>2440</v>
      </c>
      <c r="BV73" s="67">
        <v>7306</v>
      </c>
      <c r="BW73" s="67">
        <v>7699</v>
      </c>
      <c r="BX73" s="67">
        <v>7123</v>
      </c>
      <c r="BY73" s="67">
        <v>7100</v>
      </c>
      <c r="BZ73" s="68">
        <v>7888.6063424947151</v>
      </c>
      <c r="CA73" s="68">
        <v>8038.6431289640595</v>
      </c>
      <c r="CB73" s="68">
        <v>8188.6799154334039</v>
      </c>
      <c r="CC73" s="68">
        <v>8338.7167019027493</v>
      </c>
      <c r="CD73" s="68">
        <v>8488.7534883720928</v>
      </c>
      <c r="CE73" s="68">
        <v>8638.7902748414381</v>
      </c>
      <c r="CF73" s="68">
        <v>8788.8270613107816</v>
      </c>
      <c r="CG73" s="68">
        <v>8938.8638477801269</v>
      </c>
      <c r="CH73" s="87">
        <v>932700</v>
      </c>
      <c r="CI73" s="467">
        <v>936101</v>
      </c>
      <c r="CJ73" s="467">
        <v>937366.46300000115</v>
      </c>
      <c r="CK73" s="467">
        <v>940626.39400000079</v>
      </c>
      <c r="CL73" s="468">
        <v>943505.4599999988</v>
      </c>
      <c r="CM73" s="19" t="s">
        <v>270</v>
      </c>
      <c r="CN73" s="70">
        <v>2155</v>
      </c>
      <c r="CO73" s="70">
        <v>2138</v>
      </c>
      <c r="CP73" s="70">
        <v>2009</v>
      </c>
      <c r="CQ73" s="70">
        <v>2122</v>
      </c>
      <c r="CR73" s="70">
        <v>1889</v>
      </c>
      <c r="CS73" s="70">
        <v>2004</v>
      </c>
      <c r="CT73" s="70">
        <v>2509</v>
      </c>
      <c r="CU73" s="70">
        <v>2534</v>
      </c>
      <c r="CV73" s="70">
        <v>2849</v>
      </c>
      <c r="CW73" s="70">
        <v>2267</v>
      </c>
      <c r="CX73" s="70">
        <v>2263</v>
      </c>
      <c r="CY73" s="70">
        <v>2515</v>
      </c>
      <c r="CZ73" s="70">
        <v>2271</v>
      </c>
      <c r="DA73" s="70">
        <v>2197</v>
      </c>
      <c r="DB73" s="70">
        <v>2077</v>
      </c>
      <c r="DC73" s="70">
        <v>2113</v>
      </c>
      <c r="DD73" s="70">
        <v>1981</v>
      </c>
      <c r="DE73" s="70">
        <v>2161</v>
      </c>
      <c r="DF73" s="70">
        <v>2489</v>
      </c>
      <c r="DG73" s="70">
        <v>2452</v>
      </c>
      <c r="DH73" s="70">
        <v>3311</v>
      </c>
      <c r="DI73" s="70">
        <v>2630</v>
      </c>
      <c r="DJ73" s="70">
        <v>2407</v>
      </c>
      <c r="DK73" s="70">
        <v>2607</v>
      </c>
      <c r="DL73" s="46">
        <v>2353</v>
      </c>
      <c r="DM73" s="46">
        <v>2227</v>
      </c>
      <c r="DN73" s="46">
        <v>2127</v>
      </c>
      <c r="DO73" s="46">
        <v>2185</v>
      </c>
      <c r="DP73" s="46">
        <v>2018</v>
      </c>
      <c r="DQ73" s="46">
        <v>2096</v>
      </c>
      <c r="DR73" s="46">
        <v>2325</v>
      </c>
      <c r="DS73" s="46">
        <v>2327</v>
      </c>
      <c r="DT73" s="46">
        <v>2680</v>
      </c>
      <c r="DU73" s="46">
        <v>2524</v>
      </c>
      <c r="DV73" s="46">
        <v>2762</v>
      </c>
      <c r="DW73" s="46">
        <v>2603</v>
      </c>
      <c r="DX73" s="46">
        <v>2405</v>
      </c>
      <c r="DY73" s="46">
        <v>2534</v>
      </c>
      <c r="DZ73" s="46">
        <v>2252</v>
      </c>
      <c r="EA73" s="46">
        <v>2455</v>
      </c>
      <c r="EB73" s="46">
        <v>2217</v>
      </c>
      <c r="EC73" s="46">
        <v>2213</v>
      </c>
      <c r="ED73" s="46">
        <v>2746</v>
      </c>
      <c r="EE73" s="46">
        <v>2890</v>
      </c>
      <c r="EF73" s="46">
        <v>2904</v>
      </c>
      <c r="EG73" s="46">
        <v>2639</v>
      </c>
      <c r="EH73" s="46">
        <v>2502</v>
      </c>
      <c r="EI73" s="46">
        <v>2766</v>
      </c>
      <c r="EJ73" s="46">
        <v>2656</v>
      </c>
      <c r="EK73" s="46">
        <v>2345</v>
      </c>
      <c r="EL73" s="46">
        <v>2140</v>
      </c>
      <c r="EM73" s="46">
        <v>2226</v>
      </c>
      <c r="EN73" s="46">
        <v>2094</v>
      </c>
      <c r="EO73" s="46">
        <v>2268</v>
      </c>
      <c r="EP73" s="46">
        <v>2511</v>
      </c>
      <c r="EQ73" s="46">
        <v>2573</v>
      </c>
      <c r="ER73" s="46">
        <v>3045</v>
      </c>
      <c r="ES73" s="46">
        <v>2019</v>
      </c>
      <c r="ET73" s="46">
        <v>7907</v>
      </c>
      <c r="EU73" s="46">
        <v>7141</v>
      </c>
      <c r="EV73" s="46">
        <v>6588</v>
      </c>
      <c r="EW73" s="46">
        <v>8129</v>
      </c>
      <c r="EX73" s="71">
        <v>7674.1286412993322</v>
      </c>
      <c r="EY73" s="71">
        <v>7720.8688978436739</v>
      </c>
      <c r="EZ73" s="71">
        <v>7767.6091543880166</v>
      </c>
      <c r="FA73" s="71">
        <v>7814.3494109323583</v>
      </c>
      <c r="FB73" s="71">
        <v>7861.0896674766991</v>
      </c>
      <c r="FC73" s="71">
        <v>7907.8299240210399</v>
      </c>
      <c r="FD73" s="71">
        <v>7954.5701805653825</v>
      </c>
      <c r="FE73" s="71">
        <v>8001.3104371097243</v>
      </c>
      <c r="FF73" s="72">
        <v>1171558</v>
      </c>
      <c r="FG73" s="72">
        <v>1175979</v>
      </c>
      <c r="FH73" s="476">
        <v>1180076</v>
      </c>
      <c r="FI73" s="476">
        <v>1181020.7249999999</v>
      </c>
      <c r="FJ73" s="476">
        <v>1184155.345</v>
      </c>
      <c r="FK73" s="476">
        <v>1187586.102</v>
      </c>
    </row>
    <row r="74" spans="1:167">
      <c r="A74" s="73" t="s">
        <v>920</v>
      </c>
      <c r="B74" s="19" t="s">
        <v>921</v>
      </c>
      <c r="C74" s="74" t="s">
        <v>719</v>
      </c>
      <c r="D74" s="75" t="s">
        <v>273</v>
      </c>
      <c r="E74" s="76">
        <v>760</v>
      </c>
      <c r="F74" s="77">
        <v>775</v>
      </c>
      <c r="G74" s="410">
        <v>650</v>
      </c>
      <c r="H74" s="78">
        <v>110210</v>
      </c>
      <c r="I74" s="77">
        <v>113350</v>
      </c>
      <c r="J74" s="410">
        <v>115481</v>
      </c>
      <c r="K74" s="410">
        <v>117764.44999999998</v>
      </c>
      <c r="L74" s="418">
        <v>119621.258</v>
      </c>
      <c r="M74" s="79">
        <v>687.8</v>
      </c>
      <c r="N74" s="80">
        <v>684.6</v>
      </c>
      <c r="O74" s="421">
        <v>572.6</v>
      </c>
      <c r="P74" s="71">
        <v>756</v>
      </c>
      <c r="Q74" s="75" t="s">
        <v>273</v>
      </c>
      <c r="R74" s="81">
        <v>55</v>
      </c>
      <c r="S74" s="77">
        <v>60</v>
      </c>
      <c r="T74" s="452">
        <v>80</v>
      </c>
      <c r="U74" s="77">
        <v>65</v>
      </c>
      <c r="V74" s="77">
        <v>70</v>
      </c>
      <c r="W74" s="452">
        <v>90</v>
      </c>
      <c r="X74" s="82">
        <v>85.7</v>
      </c>
      <c r="Y74" s="83">
        <v>89.7</v>
      </c>
      <c r="Z74" s="443">
        <v>90</v>
      </c>
      <c r="AA74" s="63">
        <v>269</v>
      </c>
      <c r="AB74" s="63">
        <v>300</v>
      </c>
      <c r="AC74" s="19" t="s">
        <v>273</v>
      </c>
      <c r="AD74" s="84">
        <v>1375</v>
      </c>
      <c r="AE74" s="85">
        <v>1666</v>
      </c>
      <c r="AF74" s="85">
        <v>1671</v>
      </c>
      <c r="AG74" s="85">
        <v>1647</v>
      </c>
      <c r="AH74" s="85">
        <v>1817</v>
      </c>
      <c r="AI74" s="85">
        <v>1679</v>
      </c>
      <c r="AJ74" s="85">
        <v>2065</v>
      </c>
      <c r="AK74" s="85">
        <v>2046</v>
      </c>
      <c r="AL74" s="96">
        <v>1413</v>
      </c>
      <c r="AM74" s="96">
        <v>1613</v>
      </c>
      <c r="AN74" s="96">
        <v>1674</v>
      </c>
      <c r="AO74" s="96">
        <v>2330</v>
      </c>
      <c r="AP74" s="96">
        <v>2340</v>
      </c>
      <c r="AQ74" s="96">
        <v>2037</v>
      </c>
      <c r="AR74" s="96">
        <v>2080</v>
      </c>
      <c r="AS74" s="96">
        <v>1977</v>
      </c>
      <c r="AT74" s="96">
        <v>2207</v>
      </c>
      <c r="AU74" s="96">
        <v>2422</v>
      </c>
      <c r="AV74" s="96">
        <v>2076</v>
      </c>
      <c r="AW74" s="96">
        <v>1329</v>
      </c>
      <c r="AX74" s="97">
        <v>1072</v>
      </c>
      <c r="AY74" s="97">
        <v>1394</v>
      </c>
      <c r="AZ74" s="97">
        <v>1104</v>
      </c>
      <c r="BA74" s="97">
        <v>1751</v>
      </c>
      <c r="BB74" s="97">
        <v>1522</v>
      </c>
      <c r="BC74" s="97">
        <v>1673</v>
      </c>
      <c r="BD74" s="87">
        <v>1978</v>
      </c>
      <c r="BE74" s="87">
        <v>2067</v>
      </c>
      <c r="BF74" s="87">
        <v>1447</v>
      </c>
      <c r="BG74" s="87">
        <v>2013</v>
      </c>
      <c r="BH74" s="87">
        <v>1614</v>
      </c>
      <c r="BI74" s="87">
        <v>1803</v>
      </c>
      <c r="BJ74" s="87">
        <v>1736</v>
      </c>
      <c r="BK74" s="87">
        <v>1171</v>
      </c>
      <c r="BL74" s="87">
        <v>1189</v>
      </c>
      <c r="BM74" s="87">
        <v>1391</v>
      </c>
      <c r="BN74" s="87">
        <v>2116</v>
      </c>
      <c r="BO74" s="87">
        <v>1369</v>
      </c>
      <c r="BP74" s="87">
        <v>1190</v>
      </c>
      <c r="BQ74" s="87">
        <v>1345</v>
      </c>
      <c r="BR74" s="96">
        <v>1382</v>
      </c>
      <c r="BS74" s="96">
        <v>1502</v>
      </c>
      <c r="BT74" s="96">
        <v>2193</v>
      </c>
      <c r="BU74" s="96">
        <v>1840</v>
      </c>
      <c r="BV74" s="67">
        <v>4096</v>
      </c>
      <c r="BW74" s="67">
        <v>4876</v>
      </c>
      <c r="BX74" s="67">
        <v>3917</v>
      </c>
      <c r="BY74" s="67">
        <v>5535</v>
      </c>
      <c r="BZ74" s="68">
        <v>4672.97822410148</v>
      </c>
      <c r="CA74" s="68">
        <v>4613.8864693446094</v>
      </c>
      <c r="CB74" s="68">
        <v>4554.7947145877388</v>
      </c>
      <c r="CC74" s="68">
        <v>4495.7029598308673</v>
      </c>
      <c r="CD74" s="68">
        <v>4436.6112050739957</v>
      </c>
      <c r="CE74" s="68">
        <v>4377.5194503171251</v>
      </c>
      <c r="CF74" s="68">
        <v>4318.4276955602545</v>
      </c>
      <c r="CG74" s="68">
        <v>4259.335940803383</v>
      </c>
      <c r="CH74" s="87">
        <v>600800</v>
      </c>
      <c r="CI74" s="467">
        <v>602908</v>
      </c>
      <c r="CJ74" s="467">
        <v>611329.16100000031</v>
      </c>
      <c r="CK74" s="467">
        <v>615433.86999999965</v>
      </c>
      <c r="CL74" s="468">
        <v>619310.24600000004</v>
      </c>
      <c r="CM74" s="19" t="s">
        <v>273</v>
      </c>
      <c r="CN74" s="70">
        <v>1217</v>
      </c>
      <c r="CO74" s="70">
        <v>1191</v>
      </c>
      <c r="CP74" s="70">
        <v>1255</v>
      </c>
      <c r="CQ74" s="70">
        <v>1243</v>
      </c>
      <c r="CR74" s="70">
        <v>1163</v>
      </c>
      <c r="CS74" s="70">
        <v>1276</v>
      </c>
      <c r="CT74" s="70">
        <v>1557</v>
      </c>
      <c r="CU74" s="70">
        <v>1457</v>
      </c>
      <c r="CV74" s="70">
        <v>1502</v>
      </c>
      <c r="CW74" s="70">
        <v>1301</v>
      </c>
      <c r="CX74" s="70">
        <v>1334</v>
      </c>
      <c r="CY74" s="70">
        <v>1463</v>
      </c>
      <c r="CZ74" s="70">
        <v>1435</v>
      </c>
      <c r="DA74" s="70">
        <v>1390</v>
      </c>
      <c r="DB74" s="70">
        <v>1259</v>
      </c>
      <c r="DC74" s="70">
        <v>1309</v>
      </c>
      <c r="DD74" s="70">
        <v>1215</v>
      </c>
      <c r="DE74" s="70">
        <v>1310</v>
      </c>
      <c r="DF74" s="70">
        <v>1441</v>
      </c>
      <c r="DG74" s="70">
        <v>1498</v>
      </c>
      <c r="DH74" s="70">
        <v>1855</v>
      </c>
      <c r="DI74" s="70">
        <v>1778</v>
      </c>
      <c r="DJ74" s="70">
        <v>1540</v>
      </c>
      <c r="DK74" s="70">
        <v>1671</v>
      </c>
      <c r="DL74" s="46">
        <v>1451</v>
      </c>
      <c r="DM74" s="46">
        <v>1624</v>
      </c>
      <c r="DN74" s="46">
        <v>1442</v>
      </c>
      <c r="DO74" s="46">
        <v>1468</v>
      </c>
      <c r="DP74" s="46">
        <v>1395</v>
      </c>
      <c r="DQ74" s="46">
        <v>1457</v>
      </c>
      <c r="DR74" s="46">
        <v>1357</v>
      </c>
      <c r="DS74" s="46">
        <v>1452</v>
      </c>
      <c r="DT74" s="46">
        <v>1525</v>
      </c>
      <c r="DU74" s="46">
        <v>1421</v>
      </c>
      <c r="DV74" s="46">
        <v>1458</v>
      </c>
      <c r="DW74" s="46">
        <v>1378</v>
      </c>
      <c r="DX74" s="46">
        <v>1294</v>
      </c>
      <c r="DY74" s="46">
        <v>1372</v>
      </c>
      <c r="DZ74" s="46">
        <v>1312</v>
      </c>
      <c r="EA74" s="46">
        <v>1360</v>
      </c>
      <c r="EB74" s="46">
        <v>1297</v>
      </c>
      <c r="EC74" s="46">
        <v>1268</v>
      </c>
      <c r="ED74" s="46">
        <v>1433</v>
      </c>
      <c r="EE74" s="46">
        <v>1431</v>
      </c>
      <c r="EF74" s="46">
        <v>1630</v>
      </c>
      <c r="EG74" s="46">
        <v>1303</v>
      </c>
      <c r="EH74" s="46">
        <v>1249</v>
      </c>
      <c r="EI74" s="46">
        <v>1270</v>
      </c>
      <c r="EJ74" s="46">
        <v>1314</v>
      </c>
      <c r="EK74" s="46">
        <v>1297</v>
      </c>
      <c r="EL74" s="46">
        <v>1172</v>
      </c>
      <c r="EM74" s="46">
        <v>1227</v>
      </c>
      <c r="EN74" s="46">
        <v>1154</v>
      </c>
      <c r="EO74" s="46">
        <v>1173</v>
      </c>
      <c r="EP74" s="46">
        <v>1242</v>
      </c>
      <c r="EQ74" s="46">
        <v>1290</v>
      </c>
      <c r="ER74" s="46">
        <v>1388</v>
      </c>
      <c r="ES74" s="46">
        <v>1278</v>
      </c>
      <c r="ET74" s="46">
        <v>3822</v>
      </c>
      <c r="EU74" s="46">
        <v>3783</v>
      </c>
      <c r="EV74" s="46">
        <v>3554</v>
      </c>
      <c r="EW74" s="46">
        <v>3920</v>
      </c>
      <c r="EX74" s="71">
        <v>3986.1523885693186</v>
      </c>
      <c r="EY74" s="71">
        <v>3972.8964286812875</v>
      </c>
      <c r="EZ74" s="71">
        <v>3959.6404687932568</v>
      </c>
      <c r="FA74" s="71">
        <v>3946.3845089052256</v>
      </c>
      <c r="FB74" s="71">
        <v>3933.1285490171949</v>
      </c>
      <c r="FC74" s="71">
        <v>3919.8725891291642</v>
      </c>
      <c r="FD74" s="71">
        <v>3906.6166292411326</v>
      </c>
      <c r="FE74" s="71">
        <v>3893.3606693531019</v>
      </c>
      <c r="FF74" s="72">
        <v>750683</v>
      </c>
      <c r="FG74" s="72">
        <v>757655</v>
      </c>
      <c r="FH74" s="476">
        <v>761481</v>
      </c>
      <c r="FI74" s="476">
        <v>770068.13500000001</v>
      </c>
      <c r="FJ74" s="476">
        <v>775666.22100000002</v>
      </c>
      <c r="FK74" s="476">
        <v>781245.42200000002</v>
      </c>
    </row>
    <row r="75" spans="1:167">
      <c r="A75" s="73" t="s">
        <v>952</v>
      </c>
      <c r="B75" s="19" t="s">
        <v>953</v>
      </c>
      <c r="C75" s="74" t="s">
        <v>720</v>
      </c>
      <c r="D75" s="75" t="s">
        <v>276</v>
      </c>
      <c r="E75" s="76">
        <v>215</v>
      </c>
      <c r="F75" s="77">
        <v>280</v>
      </c>
      <c r="G75" s="410">
        <v>290</v>
      </c>
      <c r="H75" s="78">
        <v>37395</v>
      </c>
      <c r="I75" s="77">
        <v>38080</v>
      </c>
      <c r="J75" s="410">
        <v>38755</v>
      </c>
      <c r="K75" s="410">
        <v>39438.365000000013</v>
      </c>
      <c r="L75" s="418">
        <v>40216.061999999998</v>
      </c>
      <c r="M75" s="79">
        <v>580.29999999999995</v>
      </c>
      <c r="N75" s="80">
        <v>735.3</v>
      </c>
      <c r="O75" s="421">
        <v>764.2</v>
      </c>
      <c r="P75" s="71">
        <v>260</v>
      </c>
      <c r="Q75" s="75" t="s">
        <v>276</v>
      </c>
      <c r="R75" s="81">
        <v>155</v>
      </c>
      <c r="S75" s="77">
        <v>180</v>
      </c>
      <c r="T75" s="452">
        <v>200</v>
      </c>
      <c r="U75" s="77">
        <v>200</v>
      </c>
      <c r="V75" s="77">
        <v>220</v>
      </c>
      <c r="W75" s="452">
        <v>230</v>
      </c>
      <c r="X75" s="82">
        <v>77.2</v>
      </c>
      <c r="Y75" s="83">
        <v>83.1</v>
      </c>
      <c r="Z75" s="443">
        <v>87</v>
      </c>
      <c r="AA75" s="63">
        <v>0</v>
      </c>
      <c r="AB75" s="63">
        <v>0</v>
      </c>
      <c r="AC75" s="19" t="s">
        <v>276</v>
      </c>
      <c r="AD75" s="84">
        <v>549</v>
      </c>
      <c r="AE75" s="85">
        <v>713</v>
      </c>
      <c r="AF75" s="85">
        <v>606</v>
      </c>
      <c r="AG75" s="85">
        <v>797</v>
      </c>
      <c r="AH75" s="85">
        <v>579</v>
      </c>
      <c r="AI75" s="85">
        <v>410</v>
      </c>
      <c r="AJ75" s="85">
        <v>719</v>
      </c>
      <c r="AK75" s="85">
        <v>693</v>
      </c>
      <c r="AL75" s="96">
        <v>831</v>
      </c>
      <c r="AM75" s="96">
        <v>837</v>
      </c>
      <c r="AN75" s="96">
        <v>576</v>
      </c>
      <c r="AO75" s="96">
        <v>560</v>
      </c>
      <c r="AP75" s="96">
        <v>587</v>
      </c>
      <c r="AQ75" s="96">
        <v>650</v>
      </c>
      <c r="AR75" s="96">
        <v>489</v>
      </c>
      <c r="AS75" s="96">
        <v>390</v>
      </c>
      <c r="AT75" s="96">
        <v>406</v>
      </c>
      <c r="AU75" s="96">
        <v>356</v>
      </c>
      <c r="AV75" s="96">
        <v>527</v>
      </c>
      <c r="AW75" s="96">
        <v>672</v>
      </c>
      <c r="AX75" s="97">
        <v>523</v>
      </c>
      <c r="AY75" s="97">
        <v>698</v>
      </c>
      <c r="AZ75" s="97">
        <v>802</v>
      </c>
      <c r="BA75" s="97">
        <v>774</v>
      </c>
      <c r="BB75" s="97">
        <v>978</v>
      </c>
      <c r="BC75" s="97">
        <v>817</v>
      </c>
      <c r="BD75" s="87">
        <v>896</v>
      </c>
      <c r="BE75" s="87">
        <v>1019</v>
      </c>
      <c r="BF75" s="87">
        <v>791</v>
      </c>
      <c r="BG75" s="87">
        <v>1015</v>
      </c>
      <c r="BH75" s="87">
        <v>703</v>
      </c>
      <c r="BI75" s="87">
        <v>750</v>
      </c>
      <c r="BJ75" s="87">
        <v>1188</v>
      </c>
      <c r="BK75" s="87">
        <v>1289</v>
      </c>
      <c r="BL75" s="87">
        <v>1061</v>
      </c>
      <c r="BM75" s="87">
        <v>1280</v>
      </c>
      <c r="BN75" s="87">
        <v>1401</v>
      </c>
      <c r="BO75" s="87">
        <v>1056</v>
      </c>
      <c r="BP75" s="87">
        <v>1092</v>
      </c>
      <c r="BQ75" s="87">
        <v>1034</v>
      </c>
      <c r="BR75" s="96">
        <v>871</v>
      </c>
      <c r="BS75" s="96">
        <v>1480</v>
      </c>
      <c r="BT75" s="96">
        <v>997</v>
      </c>
      <c r="BU75" s="96">
        <v>977</v>
      </c>
      <c r="BV75" s="67">
        <v>3538</v>
      </c>
      <c r="BW75" s="67">
        <v>3737</v>
      </c>
      <c r="BX75" s="67">
        <v>2997</v>
      </c>
      <c r="BY75" s="67">
        <v>3454</v>
      </c>
      <c r="BZ75" s="68">
        <v>3492.9879492600421</v>
      </c>
      <c r="CA75" s="68">
        <v>3630.4380549682874</v>
      </c>
      <c r="CB75" s="68">
        <v>3767.8881606765326</v>
      </c>
      <c r="CC75" s="68">
        <v>3905.3382663847779</v>
      </c>
      <c r="CD75" s="68">
        <v>4042.7883720930231</v>
      </c>
      <c r="CE75" s="68">
        <v>4180.2384778012693</v>
      </c>
      <c r="CF75" s="68">
        <v>4317.6885835095136</v>
      </c>
      <c r="CG75" s="68">
        <v>4455.1386892177588</v>
      </c>
      <c r="CH75" s="87">
        <v>253200</v>
      </c>
      <c r="CI75" s="467">
        <v>254324</v>
      </c>
      <c r="CJ75" s="467">
        <v>256128.31200000003</v>
      </c>
      <c r="CK75" s="467">
        <v>257793.01699999999</v>
      </c>
      <c r="CL75" s="468">
        <v>259335.31399999998</v>
      </c>
      <c r="CM75" s="19" t="s">
        <v>276</v>
      </c>
      <c r="CN75" s="70">
        <v>663</v>
      </c>
      <c r="CO75" s="70">
        <v>673</v>
      </c>
      <c r="CP75" s="70">
        <v>639</v>
      </c>
      <c r="CQ75" s="70">
        <v>704</v>
      </c>
      <c r="CR75" s="70">
        <v>536</v>
      </c>
      <c r="CS75" s="70">
        <v>618</v>
      </c>
      <c r="CT75" s="70">
        <v>704</v>
      </c>
      <c r="CU75" s="70">
        <v>704</v>
      </c>
      <c r="CV75" s="70">
        <v>846</v>
      </c>
      <c r="CW75" s="70">
        <v>735</v>
      </c>
      <c r="CX75" s="70">
        <v>669</v>
      </c>
      <c r="CY75" s="70">
        <v>741</v>
      </c>
      <c r="CZ75" s="70">
        <v>655</v>
      </c>
      <c r="DA75" s="70">
        <v>645</v>
      </c>
      <c r="DB75" s="70">
        <v>572</v>
      </c>
      <c r="DC75" s="70">
        <v>565</v>
      </c>
      <c r="DD75" s="70">
        <v>516</v>
      </c>
      <c r="DE75" s="70">
        <v>548</v>
      </c>
      <c r="DF75" s="70">
        <v>561</v>
      </c>
      <c r="DG75" s="70">
        <v>677</v>
      </c>
      <c r="DH75" s="70">
        <v>811</v>
      </c>
      <c r="DI75" s="70">
        <v>737</v>
      </c>
      <c r="DJ75" s="70">
        <v>614</v>
      </c>
      <c r="DK75" s="70">
        <v>680</v>
      </c>
      <c r="DL75" s="46">
        <v>471</v>
      </c>
      <c r="DM75" s="46">
        <v>460</v>
      </c>
      <c r="DN75" s="46">
        <v>454</v>
      </c>
      <c r="DO75" s="46">
        <v>433</v>
      </c>
      <c r="DP75" s="46">
        <v>448</v>
      </c>
      <c r="DQ75" s="46">
        <v>463</v>
      </c>
      <c r="DR75" s="46">
        <v>491</v>
      </c>
      <c r="DS75" s="46">
        <v>436</v>
      </c>
      <c r="DT75" s="46">
        <v>503</v>
      </c>
      <c r="DU75" s="46">
        <v>542</v>
      </c>
      <c r="DV75" s="46">
        <v>518</v>
      </c>
      <c r="DW75" s="46">
        <v>458</v>
      </c>
      <c r="DX75" s="46">
        <v>484</v>
      </c>
      <c r="DY75" s="46">
        <v>507</v>
      </c>
      <c r="DZ75" s="46">
        <v>454</v>
      </c>
      <c r="EA75" s="46">
        <v>472</v>
      </c>
      <c r="EB75" s="46">
        <v>431</v>
      </c>
      <c r="EC75" s="46">
        <v>454</v>
      </c>
      <c r="ED75" s="46">
        <v>510</v>
      </c>
      <c r="EE75" s="46">
        <v>517</v>
      </c>
      <c r="EF75" s="46">
        <v>557</v>
      </c>
      <c r="EG75" s="46">
        <v>463</v>
      </c>
      <c r="EH75" s="46">
        <v>392</v>
      </c>
      <c r="EI75" s="46">
        <v>510</v>
      </c>
      <c r="EJ75" s="46">
        <v>357</v>
      </c>
      <c r="EK75" s="46">
        <v>370</v>
      </c>
      <c r="EL75" s="46">
        <v>331</v>
      </c>
      <c r="EM75" s="46">
        <v>384</v>
      </c>
      <c r="EN75" s="46">
        <v>353</v>
      </c>
      <c r="EO75" s="46">
        <v>329</v>
      </c>
      <c r="EP75" s="46">
        <v>389</v>
      </c>
      <c r="EQ75" s="46">
        <v>381</v>
      </c>
      <c r="ER75" s="46">
        <v>430</v>
      </c>
      <c r="ES75" s="46">
        <v>366</v>
      </c>
      <c r="ET75" s="46">
        <v>1365</v>
      </c>
      <c r="EU75" s="46">
        <v>1058</v>
      </c>
      <c r="EV75" s="46">
        <v>1066</v>
      </c>
      <c r="EW75" s="46">
        <v>1200</v>
      </c>
      <c r="EX75" s="71">
        <v>1001.0921283336921</v>
      </c>
      <c r="EY75" s="71">
        <v>945.81946537881799</v>
      </c>
      <c r="EZ75" s="71">
        <v>890.5468024239442</v>
      </c>
      <c r="FA75" s="71">
        <v>835.27413946907006</v>
      </c>
      <c r="FB75" s="71">
        <v>780.00147651419616</v>
      </c>
      <c r="FC75" s="71">
        <v>724.72881355932213</v>
      </c>
      <c r="FD75" s="71">
        <v>669.456150604448</v>
      </c>
      <c r="FE75" s="71">
        <v>614.18348764957409</v>
      </c>
      <c r="FF75" s="72">
        <v>329627</v>
      </c>
      <c r="FG75" s="72">
        <v>331606</v>
      </c>
      <c r="FH75" s="476">
        <v>333812</v>
      </c>
      <c r="FI75" s="476">
        <v>335699.71399999998</v>
      </c>
      <c r="FJ75" s="476">
        <v>337739.62800000003</v>
      </c>
      <c r="FK75" s="476">
        <v>339932.73700000002</v>
      </c>
    </row>
    <row r="76" spans="1:167">
      <c r="A76" s="73" t="s">
        <v>952</v>
      </c>
      <c r="B76" s="19" t="s">
        <v>953</v>
      </c>
      <c r="C76" s="74" t="s">
        <v>721</v>
      </c>
      <c r="D76" s="75" t="s">
        <v>279</v>
      </c>
      <c r="E76" s="76">
        <v>805</v>
      </c>
      <c r="F76" s="77">
        <v>930</v>
      </c>
      <c r="G76" s="410">
        <v>920</v>
      </c>
      <c r="H76" s="78">
        <v>116525</v>
      </c>
      <c r="I76" s="77">
        <v>121930</v>
      </c>
      <c r="J76" s="410">
        <v>126081</v>
      </c>
      <c r="K76" s="410">
        <v>130328.52100000014</v>
      </c>
      <c r="L76" s="418">
        <v>133952.47599999997</v>
      </c>
      <c r="M76" s="79">
        <v>690.8</v>
      </c>
      <c r="N76" s="80">
        <v>762.7</v>
      </c>
      <c r="O76" s="421">
        <v>756.2</v>
      </c>
      <c r="P76" s="71">
        <v>939</v>
      </c>
      <c r="Q76" s="75" t="s">
        <v>279</v>
      </c>
      <c r="R76" s="81">
        <v>365</v>
      </c>
      <c r="S76" s="77">
        <v>395</v>
      </c>
      <c r="T76" s="452">
        <v>405</v>
      </c>
      <c r="U76" s="77">
        <v>470</v>
      </c>
      <c r="V76" s="77">
        <v>505</v>
      </c>
      <c r="W76" s="452">
        <v>515</v>
      </c>
      <c r="X76" s="82">
        <v>77.900000000000006</v>
      </c>
      <c r="Y76" s="83">
        <v>78.599999999999994</v>
      </c>
      <c r="Z76" s="443">
        <v>78.599999999999994</v>
      </c>
      <c r="AA76" s="63">
        <v>480</v>
      </c>
      <c r="AB76" s="63">
        <v>584</v>
      </c>
      <c r="AC76" s="19" t="s">
        <v>279</v>
      </c>
      <c r="AD76" s="84">
        <v>1174</v>
      </c>
      <c r="AE76" s="85">
        <v>1085</v>
      </c>
      <c r="AF76" s="85">
        <v>1269</v>
      </c>
      <c r="AG76" s="85">
        <v>882</v>
      </c>
      <c r="AH76" s="85">
        <v>1026</v>
      </c>
      <c r="AI76" s="85">
        <v>914</v>
      </c>
      <c r="AJ76" s="85">
        <v>1065</v>
      </c>
      <c r="AK76" s="85">
        <v>1098</v>
      </c>
      <c r="AL76" s="96">
        <v>749</v>
      </c>
      <c r="AM76" s="96">
        <v>890</v>
      </c>
      <c r="AN76" s="96">
        <v>1121</v>
      </c>
      <c r="AO76" s="96">
        <v>912</v>
      </c>
      <c r="AP76" s="96">
        <v>1079</v>
      </c>
      <c r="AQ76" s="96">
        <v>1062</v>
      </c>
      <c r="AR76" s="96">
        <v>978</v>
      </c>
      <c r="AS76" s="96">
        <v>903</v>
      </c>
      <c r="AT76" s="96">
        <v>868</v>
      </c>
      <c r="AU76" s="96">
        <v>838</v>
      </c>
      <c r="AV76" s="96">
        <v>970</v>
      </c>
      <c r="AW76" s="96">
        <v>824</v>
      </c>
      <c r="AX76" s="97">
        <v>762</v>
      </c>
      <c r="AY76" s="97">
        <v>1594</v>
      </c>
      <c r="AZ76" s="97">
        <v>1343</v>
      </c>
      <c r="BA76" s="97">
        <v>1732</v>
      </c>
      <c r="BB76" s="97">
        <v>1954</v>
      </c>
      <c r="BC76" s="97">
        <v>1661</v>
      </c>
      <c r="BD76" s="87">
        <v>1518</v>
      </c>
      <c r="BE76" s="87">
        <v>1575</v>
      </c>
      <c r="BF76" s="87">
        <v>1387</v>
      </c>
      <c r="BG76" s="87">
        <v>1735</v>
      </c>
      <c r="BH76" s="87">
        <v>1093</v>
      </c>
      <c r="BI76" s="87">
        <v>1170</v>
      </c>
      <c r="BJ76" s="87">
        <v>1327</v>
      </c>
      <c r="BK76" s="87">
        <v>1816</v>
      </c>
      <c r="BL76" s="87">
        <v>1355</v>
      </c>
      <c r="BM76" s="87">
        <v>1273</v>
      </c>
      <c r="BN76" s="87">
        <v>1397</v>
      </c>
      <c r="BO76" s="87">
        <v>1508</v>
      </c>
      <c r="BP76" s="87">
        <v>1912</v>
      </c>
      <c r="BQ76" s="87">
        <v>1882</v>
      </c>
      <c r="BR76" s="96">
        <v>1931</v>
      </c>
      <c r="BS76" s="96">
        <v>2183</v>
      </c>
      <c r="BT76" s="96">
        <v>1630</v>
      </c>
      <c r="BU76" s="96">
        <v>1947</v>
      </c>
      <c r="BV76" s="67">
        <v>4498</v>
      </c>
      <c r="BW76" s="67">
        <v>4178</v>
      </c>
      <c r="BX76" s="67">
        <v>5725</v>
      </c>
      <c r="BY76" s="67">
        <v>5760</v>
      </c>
      <c r="BZ76" s="68">
        <v>5466.972515856236</v>
      </c>
      <c r="CA76" s="68">
        <v>5665.3403805496819</v>
      </c>
      <c r="CB76" s="68">
        <v>5863.7082452431296</v>
      </c>
      <c r="CC76" s="68">
        <v>6062.0761099365754</v>
      </c>
      <c r="CD76" s="68">
        <v>6260.4439746300213</v>
      </c>
      <c r="CE76" s="68">
        <v>6458.8118393234672</v>
      </c>
      <c r="CF76" s="68">
        <v>6657.1797040169131</v>
      </c>
      <c r="CG76" s="68">
        <v>6855.547568710359</v>
      </c>
      <c r="CH76" s="87">
        <v>522200</v>
      </c>
      <c r="CI76" s="467">
        <v>526919</v>
      </c>
      <c r="CJ76" s="467">
        <v>530419.6749999997</v>
      </c>
      <c r="CK76" s="467">
        <v>534195.16100000008</v>
      </c>
      <c r="CL76" s="468">
        <v>537924.18600000045</v>
      </c>
      <c r="CM76" s="19" t="s">
        <v>279</v>
      </c>
      <c r="CN76" s="70">
        <v>946</v>
      </c>
      <c r="CO76" s="70">
        <v>942</v>
      </c>
      <c r="CP76" s="70">
        <v>894</v>
      </c>
      <c r="CQ76" s="70">
        <v>909</v>
      </c>
      <c r="CR76" s="70">
        <v>839</v>
      </c>
      <c r="CS76" s="70">
        <v>827</v>
      </c>
      <c r="CT76" s="70">
        <v>997</v>
      </c>
      <c r="CU76" s="70">
        <v>1056</v>
      </c>
      <c r="CV76" s="70">
        <v>1234</v>
      </c>
      <c r="CW76" s="70">
        <v>1034</v>
      </c>
      <c r="CX76" s="70">
        <v>998</v>
      </c>
      <c r="CY76" s="70">
        <v>1066</v>
      </c>
      <c r="CZ76" s="70">
        <v>983</v>
      </c>
      <c r="DA76" s="70">
        <v>920</v>
      </c>
      <c r="DB76" s="70">
        <v>870</v>
      </c>
      <c r="DC76" s="70">
        <v>839</v>
      </c>
      <c r="DD76" s="70">
        <v>825</v>
      </c>
      <c r="DE76" s="70">
        <v>856</v>
      </c>
      <c r="DF76" s="70">
        <v>843</v>
      </c>
      <c r="DG76" s="70">
        <v>916</v>
      </c>
      <c r="DH76" s="70">
        <v>1323</v>
      </c>
      <c r="DI76" s="70">
        <v>1045</v>
      </c>
      <c r="DJ76" s="70">
        <v>922</v>
      </c>
      <c r="DK76" s="70">
        <v>1023</v>
      </c>
      <c r="DL76" s="46">
        <v>799</v>
      </c>
      <c r="DM76" s="46">
        <v>691</v>
      </c>
      <c r="DN76" s="46">
        <v>711</v>
      </c>
      <c r="DO76" s="46">
        <v>738</v>
      </c>
      <c r="DP76" s="46">
        <v>732</v>
      </c>
      <c r="DQ76" s="46">
        <v>706</v>
      </c>
      <c r="DR76" s="46">
        <v>777</v>
      </c>
      <c r="DS76" s="46">
        <v>752</v>
      </c>
      <c r="DT76" s="46">
        <v>930</v>
      </c>
      <c r="DU76" s="46">
        <v>960</v>
      </c>
      <c r="DV76" s="46">
        <v>811</v>
      </c>
      <c r="DW76" s="46">
        <v>830</v>
      </c>
      <c r="DX76" s="46">
        <v>847</v>
      </c>
      <c r="DY76" s="46">
        <v>872</v>
      </c>
      <c r="DZ76" s="46">
        <v>789</v>
      </c>
      <c r="EA76" s="46">
        <v>844</v>
      </c>
      <c r="EB76" s="46">
        <v>769</v>
      </c>
      <c r="EC76" s="46">
        <v>744</v>
      </c>
      <c r="ED76" s="46">
        <v>842</v>
      </c>
      <c r="EE76" s="46">
        <v>876</v>
      </c>
      <c r="EF76" s="46">
        <v>992</v>
      </c>
      <c r="EG76" s="46">
        <v>880</v>
      </c>
      <c r="EH76" s="46">
        <v>841</v>
      </c>
      <c r="EI76" s="46">
        <v>869</v>
      </c>
      <c r="EJ76" s="46">
        <v>705</v>
      </c>
      <c r="EK76" s="46">
        <v>672</v>
      </c>
      <c r="EL76" s="46">
        <v>591</v>
      </c>
      <c r="EM76" s="46">
        <v>633</v>
      </c>
      <c r="EN76" s="46">
        <v>621</v>
      </c>
      <c r="EO76" s="46">
        <v>645</v>
      </c>
      <c r="EP76" s="46">
        <v>677</v>
      </c>
      <c r="EQ76" s="46">
        <v>663</v>
      </c>
      <c r="ER76" s="46">
        <v>820</v>
      </c>
      <c r="ES76" s="46">
        <v>657</v>
      </c>
      <c r="ET76" s="46">
        <v>2590</v>
      </c>
      <c r="EU76" s="46">
        <v>1968</v>
      </c>
      <c r="EV76" s="46">
        <v>1899</v>
      </c>
      <c r="EW76" s="46">
        <v>2160</v>
      </c>
      <c r="EX76" s="71">
        <v>2046.6940539542898</v>
      </c>
      <c r="EY76" s="71">
        <v>1999.7910117198317</v>
      </c>
      <c r="EZ76" s="71">
        <v>1952.8879694853731</v>
      </c>
      <c r="FA76" s="71">
        <v>1905.984927250915</v>
      </c>
      <c r="FB76" s="71">
        <v>1859.0818850164569</v>
      </c>
      <c r="FC76" s="71">
        <v>1812.1788427819986</v>
      </c>
      <c r="FD76" s="71">
        <v>1765.2758005475405</v>
      </c>
      <c r="FE76" s="71">
        <v>1718.3727583130824</v>
      </c>
      <c r="FF76" s="72">
        <v>651179</v>
      </c>
      <c r="FG76" s="72">
        <v>656698</v>
      </c>
      <c r="FH76" s="476">
        <v>661575</v>
      </c>
      <c r="FI76" s="476">
        <v>665121.03800000006</v>
      </c>
      <c r="FJ76" s="476">
        <v>669461.58599999989</v>
      </c>
      <c r="FK76" s="476">
        <v>673874.01199999999</v>
      </c>
    </row>
    <row r="77" spans="1:167">
      <c r="A77" s="73" t="s">
        <v>907</v>
      </c>
      <c r="B77" s="19" t="s">
        <v>908</v>
      </c>
      <c r="C77" s="74" t="s">
        <v>722</v>
      </c>
      <c r="D77" s="75" t="s">
        <v>282</v>
      </c>
      <c r="E77" s="76">
        <v>145</v>
      </c>
      <c r="F77" s="77">
        <v>165</v>
      </c>
      <c r="G77" s="410">
        <v>140</v>
      </c>
      <c r="H77" s="78">
        <v>26220</v>
      </c>
      <c r="I77" s="77">
        <v>26755</v>
      </c>
      <c r="J77" s="410">
        <v>27124</v>
      </c>
      <c r="K77" s="410">
        <v>27385.221000000001</v>
      </c>
      <c r="L77" s="418">
        <v>27685.571999999996</v>
      </c>
      <c r="M77" s="79">
        <v>560.70000000000005</v>
      </c>
      <c r="N77" s="80">
        <v>612.9</v>
      </c>
      <c r="O77" s="421">
        <v>527</v>
      </c>
      <c r="P77" s="71">
        <v>147</v>
      </c>
      <c r="Q77" s="75" t="s">
        <v>282</v>
      </c>
      <c r="R77" s="81">
        <v>100</v>
      </c>
      <c r="S77" s="77">
        <v>130</v>
      </c>
      <c r="T77" s="452">
        <v>155</v>
      </c>
      <c r="U77" s="77">
        <v>115</v>
      </c>
      <c r="V77" s="77">
        <v>150</v>
      </c>
      <c r="W77" s="452">
        <v>175</v>
      </c>
      <c r="X77" s="82">
        <v>89.4</v>
      </c>
      <c r="Y77" s="83">
        <v>86.5</v>
      </c>
      <c r="Z77" s="443">
        <v>86.9</v>
      </c>
      <c r="AA77" s="63">
        <v>264</v>
      </c>
      <c r="AB77" s="63">
        <v>300</v>
      </c>
      <c r="AC77" s="19" t="s">
        <v>282</v>
      </c>
      <c r="AD77" s="84">
        <v>73</v>
      </c>
      <c r="AE77" s="85">
        <v>60</v>
      </c>
      <c r="AF77" s="85">
        <v>87</v>
      </c>
      <c r="AG77" s="85">
        <v>159</v>
      </c>
      <c r="AH77" s="85">
        <v>217</v>
      </c>
      <c r="AI77" s="85">
        <v>119</v>
      </c>
      <c r="AJ77" s="85">
        <v>116</v>
      </c>
      <c r="AK77" s="85">
        <v>164</v>
      </c>
      <c r="AL77" s="96">
        <v>131</v>
      </c>
      <c r="AM77" s="96">
        <v>80</v>
      </c>
      <c r="AN77" s="96">
        <v>150</v>
      </c>
      <c r="AO77" s="96">
        <v>104</v>
      </c>
      <c r="AP77" s="96">
        <v>107</v>
      </c>
      <c r="AQ77" s="96">
        <v>138</v>
      </c>
      <c r="AR77" s="96">
        <v>112</v>
      </c>
      <c r="AS77" s="96">
        <v>230</v>
      </c>
      <c r="AT77" s="96">
        <v>356</v>
      </c>
      <c r="AU77" s="96">
        <v>163</v>
      </c>
      <c r="AV77" s="96">
        <v>325</v>
      </c>
      <c r="AW77" s="96">
        <v>319</v>
      </c>
      <c r="AX77" s="97">
        <v>174</v>
      </c>
      <c r="AY77" s="97">
        <v>316</v>
      </c>
      <c r="AZ77" s="97">
        <v>294</v>
      </c>
      <c r="BA77" s="97">
        <v>454</v>
      </c>
      <c r="BB77" s="97">
        <v>488</v>
      </c>
      <c r="BC77" s="97">
        <v>197</v>
      </c>
      <c r="BD77" s="87">
        <v>254</v>
      </c>
      <c r="BE77" s="87">
        <v>374</v>
      </c>
      <c r="BF77" s="87">
        <v>196</v>
      </c>
      <c r="BG77" s="87">
        <v>233</v>
      </c>
      <c r="BH77" s="87">
        <v>197</v>
      </c>
      <c r="BI77" s="87">
        <v>170</v>
      </c>
      <c r="BJ77" s="87">
        <v>190</v>
      </c>
      <c r="BK77" s="87">
        <v>184</v>
      </c>
      <c r="BL77" s="87">
        <v>165</v>
      </c>
      <c r="BM77" s="87">
        <v>165</v>
      </c>
      <c r="BN77" s="87">
        <v>273</v>
      </c>
      <c r="BO77" s="87">
        <v>344</v>
      </c>
      <c r="BP77" s="87">
        <v>252</v>
      </c>
      <c r="BQ77" s="87">
        <v>224</v>
      </c>
      <c r="BR77" s="96">
        <v>340</v>
      </c>
      <c r="BS77" s="96">
        <v>346</v>
      </c>
      <c r="BT77" s="96">
        <v>420</v>
      </c>
      <c r="BU77" s="96">
        <v>225</v>
      </c>
      <c r="BV77" s="67">
        <v>539</v>
      </c>
      <c r="BW77" s="67">
        <v>782</v>
      </c>
      <c r="BX77" s="67">
        <v>816</v>
      </c>
      <c r="BY77" s="67">
        <v>991</v>
      </c>
      <c r="BZ77" s="68">
        <v>978.03805496828761</v>
      </c>
      <c r="CA77" s="68">
        <v>1018.5951374207189</v>
      </c>
      <c r="CB77" s="68">
        <v>1059.1522198731502</v>
      </c>
      <c r="CC77" s="68">
        <v>1099.7093023255816</v>
      </c>
      <c r="CD77" s="68">
        <v>1140.2663847780127</v>
      </c>
      <c r="CE77" s="68">
        <v>1180.8234672304443</v>
      </c>
      <c r="CF77" s="68">
        <v>1221.3805496828754</v>
      </c>
      <c r="CG77" s="68">
        <v>1261.9376321353066</v>
      </c>
      <c r="CH77" s="87">
        <v>217000</v>
      </c>
      <c r="CI77" s="467">
        <v>220491</v>
      </c>
      <c r="CJ77" s="467">
        <v>223564.58599999998</v>
      </c>
      <c r="CK77" s="467">
        <v>226820.44899999994</v>
      </c>
      <c r="CL77" s="468">
        <v>230015.20399999997</v>
      </c>
      <c r="CM77" s="19" t="s">
        <v>282</v>
      </c>
      <c r="CN77" s="70">
        <v>400</v>
      </c>
      <c r="CO77" s="70">
        <v>379</v>
      </c>
      <c r="CP77" s="70">
        <v>409</v>
      </c>
      <c r="CQ77" s="70">
        <v>408</v>
      </c>
      <c r="CR77" s="70">
        <v>380</v>
      </c>
      <c r="CS77" s="70">
        <v>404</v>
      </c>
      <c r="CT77" s="70">
        <v>440</v>
      </c>
      <c r="CU77" s="70">
        <v>402</v>
      </c>
      <c r="CV77" s="70">
        <v>458</v>
      </c>
      <c r="CW77" s="70">
        <v>410</v>
      </c>
      <c r="CX77" s="70">
        <v>392</v>
      </c>
      <c r="CY77" s="70">
        <v>380</v>
      </c>
      <c r="CZ77" s="70">
        <v>395</v>
      </c>
      <c r="DA77" s="70">
        <v>436</v>
      </c>
      <c r="DB77" s="70">
        <v>376</v>
      </c>
      <c r="DC77" s="70">
        <v>388</v>
      </c>
      <c r="DD77" s="70">
        <v>363</v>
      </c>
      <c r="DE77" s="70">
        <v>395</v>
      </c>
      <c r="DF77" s="70">
        <v>416</v>
      </c>
      <c r="DG77" s="70">
        <v>435</v>
      </c>
      <c r="DH77" s="70">
        <v>509</v>
      </c>
      <c r="DI77" s="70">
        <v>430</v>
      </c>
      <c r="DJ77" s="70">
        <v>399</v>
      </c>
      <c r="DK77" s="70">
        <v>383</v>
      </c>
      <c r="DL77" s="46">
        <v>388</v>
      </c>
      <c r="DM77" s="46">
        <v>434</v>
      </c>
      <c r="DN77" s="46">
        <v>400</v>
      </c>
      <c r="DO77" s="46">
        <v>413</v>
      </c>
      <c r="DP77" s="46">
        <v>391</v>
      </c>
      <c r="DQ77" s="46">
        <v>393</v>
      </c>
      <c r="DR77" s="46">
        <v>380</v>
      </c>
      <c r="DS77" s="46">
        <v>434</v>
      </c>
      <c r="DT77" s="46">
        <v>471</v>
      </c>
      <c r="DU77" s="46">
        <v>427</v>
      </c>
      <c r="DV77" s="46">
        <v>420</v>
      </c>
      <c r="DW77" s="46">
        <v>388</v>
      </c>
      <c r="DX77" s="46">
        <v>442</v>
      </c>
      <c r="DY77" s="46">
        <v>473</v>
      </c>
      <c r="DZ77" s="46">
        <v>399</v>
      </c>
      <c r="EA77" s="46">
        <v>417</v>
      </c>
      <c r="EB77" s="46">
        <v>381</v>
      </c>
      <c r="EC77" s="46">
        <v>402</v>
      </c>
      <c r="ED77" s="46">
        <v>481</v>
      </c>
      <c r="EE77" s="46">
        <v>464</v>
      </c>
      <c r="EF77" s="46">
        <v>494</v>
      </c>
      <c r="EG77" s="46">
        <v>465</v>
      </c>
      <c r="EH77" s="46">
        <v>417</v>
      </c>
      <c r="EI77" s="46">
        <v>369</v>
      </c>
      <c r="EJ77" s="46">
        <v>429</v>
      </c>
      <c r="EK77" s="46">
        <v>416</v>
      </c>
      <c r="EL77" s="46">
        <v>420</v>
      </c>
      <c r="EM77" s="46">
        <v>449</v>
      </c>
      <c r="EN77" s="46">
        <v>385</v>
      </c>
      <c r="EO77" s="46">
        <v>422</v>
      </c>
      <c r="EP77" s="46">
        <v>459</v>
      </c>
      <c r="EQ77" s="46">
        <v>433</v>
      </c>
      <c r="ER77" s="46">
        <v>458</v>
      </c>
      <c r="ES77" s="46">
        <v>369</v>
      </c>
      <c r="ET77" s="46">
        <v>1251</v>
      </c>
      <c r="EU77" s="46">
        <v>1265</v>
      </c>
      <c r="EV77" s="46">
        <v>1256</v>
      </c>
      <c r="EW77" s="46">
        <v>1350</v>
      </c>
      <c r="EX77" s="71">
        <v>1303.9595189024576</v>
      </c>
      <c r="EY77" s="71">
        <v>1308.9244824510133</v>
      </c>
      <c r="EZ77" s="71">
        <v>1313.8894459995695</v>
      </c>
      <c r="FA77" s="71">
        <v>1318.854409548125</v>
      </c>
      <c r="FB77" s="71">
        <v>1323.8193730966809</v>
      </c>
      <c r="FC77" s="71">
        <v>1328.7843366452366</v>
      </c>
      <c r="FD77" s="71">
        <v>1333.7493001937924</v>
      </c>
      <c r="FE77" s="71">
        <v>1338.7142637423483</v>
      </c>
      <c r="FF77" s="72">
        <v>276938</v>
      </c>
      <c r="FG77" s="72">
        <v>281556</v>
      </c>
      <c r="FH77" s="476">
        <v>286180</v>
      </c>
      <c r="FI77" s="476">
        <v>289794.12900000002</v>
      </c>
      <c r="FJ77" s="476">
        <v>293946.98499999999</v>
      </c>
      <c r="FK77" s="476">
        <v>298245.48700000002</v>
      </c>
    </row>
    <row r="78" spans="1:167">
      <c r="A78" s="73" t="s">
        <v>952</v>
      </c>
      <c r="B78" s="19" t="s">
        <v>953</v>
      </c>
      <c r="C78" s="74" t="s">
        <v>723</v>
      </c>
      <c r="D78" s="75" t="s">
        <v>285</v>
      </c>
      <c r="E78" s="76">
        <v>895</v>
      </c>
      <c r="F78" s="77">
        <v>1215</v>
      </c>
      <c r="G78" s="410">
        <v>1045</v>
      </c>
      <c r="H78" s="78">
        <v>149150</v>
      </c>
      <c r="I78" s="77">
        <v>155115</v>
      </c>
      <c r="J78" s="410">
        <v>159953</v>
      </c>
      <c r="K78" s="410">
        <v>164313.86200000005</v>
      </c>
      <c r="L78" s="418">
        <v>168468.45599999986</v>
      </c>
      <c r="M78" s="79">
        <v>600.1</v>
      </c>
      <c r="N78" s="80">
        <v>784.6</v>
      </c>
      <c r="O78" s="421">
        <v>674.3</v>
      </c>
      <c r="P78" s="71">
        <v>1214</v>
      </c>
      <c r="Q78" s="75" t="s">
        <v>285</v>
      </c>
      <c r="R78" s="81">
        <v>430</v>
      </c>
      <c r="S78" s="77">
        <v>655</v>
      </c>
      <c r="T78" s="452">
        <v>870</v>
      </c>
      <c r="U78" s="77">
        <v>580</v>
      </c>
      <c r="V78" s="77">
        <v>900</v>
      </c>
      <c r="W78" s="452">
        <v>1165</v>
      </c>
      <c r="X78" s="82">
        <v>74.400000000000006</v>
      </c>
      <c r="Y78" s="83">
        <v>72.400000000000006</v>
      </c>
      <c r="Z78" s="443">
        <v>74.599999999999994</v>
      </c>
      <c r="AA78" s="63">
        <v>761</v>
      </c>
      <c r="AB78" s="63">
        <v>1000</v>
      </c>
      <c r="AC78" s="19" t="s">
        <v>285</v>
      </c>
      <c r="AD78" s="84">
        <v>2023</v>
      </c>
      <c r="AE78" s="85">
        <v>1786</v>
      </c>
      <c r="AF78" s="85">
        <v>1657</v>
      </c>
      <c r="AG78" s="85">
        <v>1813</v>
      </c>
      <c r="AH78" s="85">
        <v>2175</v>
      </c>
      <c r="AI78" s="85">
        <v>1728</v>
      </c>
      <c r="AJ78" s="85">
        <v>1486</v>
      </c>
      <c r="AK78" s="85">
        <v>2025</v>
      </c>
      <c r="AL78" s="96">
        <v>1925</v>
      </c>
      <c r="AM78" s="96">
        <v>1760</v>
      </c>
      <c r="AN78" s="96">
        <v>1816</v>
      </c>
      <c r="AO78" s="96">
        <v>1692</v>
      </c>
      <c r="AP78" s="96">
        <v>1830</v>
      </c>
      <c r="AQ78" s="96">
        <v>1775</v>
      </c>
      <c r="AR78" s="96">
        <v>1720</v>
      </c>
      <c r="AS78" s="96">
        <v>1683</v>
      </c>
      <c r="AT78" s="96">
        <v>1449</v>
      </c>
      <c r="AU78" s="96">
        <v>1342</v>
      </c>
      <c r="AV78" s="96">
        <v>1285</v>
      </c>
      <c r="AW78" s="96">
        <v>1472</v>
      </c>
      <c r="AX78" s="97">
        <v>1507</v>
      </c>
      <c r="AY78" s="97">
        <v>1587</v>
      </c>
      <c r="AZ78" s="97">
        <v>1401</v>
      </c>
      <c r="BA78" s="97">
        <v>1531</v>
      </c>
      <c r="BB78" s="97">
        <v>1382</v>
      </c>
      <c r="BC78" s="97">
        <v>1615</v>
      </c>
      <c r="BD78" s="87">
        <v>1610</v>
      </c>
      <c r="BE78" s="87">
        <v>1658</v>
      </c>
      <c r="BF78" s="87">
        <v>1414</v>
      </c>
      <c r="BG78" s="87">
        <v>1485</v>
      </c>
      <c r="BH78" s="87">
        <v>1477</v>
      </c>
      <c r="BI78" s="87">
        <v>1491</v>
      </c>
      <c r="BJ78" s="87">
        <v>1557</v>
      </c>
      <c r="BK78" s="87">
        <v>1489</v>
      </c>
      <c r="BL78" s="87">
        <v>1463</v>
      </c>
      <c r="BM78" s="87">
        <v>1203</v>
      </c>
      <c r="BN78" s="87">
        <v>1448</v>
      </c>
      <c r="BO78" s="87">
        <v>1321</v>
      </c>
      <c r="BP78" s="87">
        <v>1345</v>
      </c>
      <c r="BQ78" s="87">
        <v>1143</v>
      </c>
      <c r="BR78" s="96">
        <v>1324</v>
      </c>
      <c r="BS78" s="96">
        <v>1467</v>
      </c>
      <c r="BT78" s="96">
        <v>1394</v>
      </c>
      <c r="BU78" s="96">
        <v>1449</v>
      </c>
      <c r="BV78" s="67">
        <v>4509</v>
      </c>
      <c r="BW78" s="67">
        <v>3972</v>
      </c>
      <c r="BX78" s="67">
        <v>3812</v>
      </c>
      <c r="BY78" s="67">
        <v>4310</v>
      </c>
      <c r="BZ78" s="68">
        <v>3793.2365750528538</v>
      </c>
      <c r="CA78" s="68">
        <v>3675.1323467230436</v>
      </c>
      <c r="CB78" s="68">
        <v>3557.0281183932339</v>
      </c>
      <c r="CC78" s="68">
        <v>3438.9238900634246</v>
      </c>
      <c r="CD78" s="68">
        <v>3320.8196617336143</v>
      </c>
      <c r="CE78" s="68">
        <v>3202.7154334038055</v>
      </c>
      <c r="CF78" s="68">
        <v>3084.6112050739953</v>
      </c>
      <c r="CG78" s="68">
        <v>2966.5069767441855</v>
      </c>
      <c r="CH78" s="87">
        <v>579100</v>
      </c>
      <c r="CI78" s="467">
        <v>583728</v>
      </c>
      <c r="CJ78" s="467">
        <v>587562.19200000027</v>
      </c>
      <c r="CK78" s="467">
        <v>591829.05200000003</v>
      </c>
      <c r="CL78" s="468">
        <v>596120.31299999997</v>
      </c>
      <c r="CM78" s="19" t="s">
        <v>285</v>
      </c>
      <c r="CN78" s="70">
        <v>1169</v>
      </c>
      <c r="CO78" s="70">
        <v>1190</v>
      </c>
      <c r="CP78" s="70">
        <v>1080</v>
      </c>
      <c r="CQ78" s="70">
        <v>1125</v>
      </c>
      <c r="CR78" s="70">
        <v>977</v>
      </c>
      <c r="CS78" s="70">
        <v>1042</v>
      </c>
      <c r="CT78" s="70">
        <v>1227</v>
      </c>
      <c r="CU78" s="70">
        <v>1209</v>
      </c>
      <c r="CV78" s="70">
        <v>1347</v>
      </c>
      <c r="CW78" s="70">
        <v>1201</v>
      </c>
      <c r="CX78" s="70">
        <v>1222</v>
      </c>
      <c r="CY78" s="70">
        <v>1199</v>
      </c>
      <c r="CZ78" s="70">
        <v>1157</v>
      </c>
      <c r="DA78" s="70">
        <v>1274</v>
      </c>
      <c r="DB78" s="70">
        <v>1108</v>
      </c>
      <c r="DC78" s="70">
        <v>1188</v>
      </c>
      <c r="DD78" s="70">
        <v>1071</v>
      </c>
      <c r="DE78" s="70">
        <v>1181</v>
      </c>
      <c r="DF78" s="70">
        <v>1259</v>
      </c>
      <c r="DG78" s="70">
        <v>1235</v>
      </c>
      <c r="DH78" s="70">
        <v>1468</v>
      </c>
      <c r="DI78" s="70">
        <v>1462</v>
      </c>
      <c r="DJ78" s="70">
        <v>1272</v>
      </c>
      <c r="DK78" s="70">
        <v>1318</v>
      </c>
      <c r="DL78" s="46">
        <v>1307</v>
      </c>
      <c r="DM78" s="46">
        <v>1174</v>
      </c>
      <c r="DN78" s="46">
        <v>1113</v>
      </c>
      <c r="DO78" s="46">
        <v>1144</v>
      </c>
      <c r="DP78" s="46">
        <v>1134</v>
      </c>
      <c r="DQ78" s="46">
        <v>1166</v>
      </c>
      <c r="DR78" s="46">
        <v>1247</v>
      </c>
      <c r="DS78" s="46">
        <v>1247</v>
      </c>
      <c r="DT78" s="46">
        <v>1463</v>
      </c>
      <c r="DU78" s="46">
        <v>1460</v>
      </c>
      <c r="DV78" s="46">
        <v>1436</v>
      </c>
      <c r="DW78" s="46">
        <v>1398</v>
      </c>
      <c r="DX78" s="46">
        <v>1318</v>
      </c>
      <c r="DY78" s="46">
        <v>1384</v>
      </c>
      <c r="DZ78" s="46">
        <v>1298</v>
      </c>
      <c r="EA78" s="46">
        <v>1338</v>
      </c>
      <c r="EB78" s="46">
        <v>1218</v>
      </c>
      <c r="EC78" s="46">
        <v>1155</v>
      </c>
      <c r="ED78" s="46">
        <v>1435</v>
      </c>
      <c r="EE78" s="46">
        <v>1488</v>
      </c>
      <c r="EF78" s="46">
        <v>1681</v>
      </c>
      <c r="EG78" s="46">
        <v>1466</v>
      </c>
      <c r="EH78" s="46">
        <v>1379</v>
      </c>
      <c r="EI78" s="46">
        <v>1498</v>
      </c>
      <c r="EJ78" s="46">
        <v>1459</v>
      </c>
      <c r="EK78" s="46">
        <v>1356</v>
      </c>
      <c r="EL78" s="46">
        <v>1312</v>
      </c>
      <c r="EM78" s="46">
        <v>1280</v>
      </c>
      <c r="EN78" s="46">
        <v>1174</v>
      </c>
      <c r="EO78" s="46">
        <v>1154</v>
      </c>
      <c r="EP78" s="46">
        <v>1281</v>
      </c>
      <c r="EQ78" s="46">
        <v>1291</v>
      </c>
      <c r="ER78" s="46">
        <v>1502</v>
      </c>
      <c r="ES78" s="46">
        <v>1299</v>
      </c>
      <c r="ET78" s="46">
        <v>4343</v>
      </c>
      <c r="EU78" s="46">
        <v>4127</v>
      </c>
      <c r="EV78" s="46">
        <v>3608</v>
      </c>
      <c r="EW78" s="46">
        <v>4074</v>
      </c>
      <c r="EX78" s="71">
        <v>4256.5659971084933</v>
      </c>
      <c r="EY78" s="71">
        <v>4295.9922483004702</v>
      </c>
      <c r="EZ78" s="71">
        <v>4335.418499492449</v>
      </c>
      <c r="FA78" s="71">
        <v>4374.8447506844259</v>
      </c>
      <c r="FB78" s="71">
        <v>4414.2710018764046</v>
      </c>
      <c r="FC78" s="71">
        <v>4453.6972530683815</v>
      </c>
      <c r="FD78" s="71">
        <v>4493.1235042603585</v>
      </c>
      <c r="FE78" s="71">
        <v>4532.5497554523363</v>
      </c>
      <c r="FF78" s="72">
        <v>714768</v>
      </c>
      <c r="FG78" s="72">
        <v>718838</v>
      </c>
      <c r="FH78" s="476">
        <v>724453</v>
      </c>
      <c r="FI78" s="476">
        <v>728287.65500000003</v>
      </c>
      <c r="FJ78" s="476">
        <v>733219.51599999995</v>
      </c>
      <c r="FK78" s="476">
        <v>738418.09000000008</v>
      </c>
    </row>
    <row r="79" spans="1:167">
      <c r="A79" s="73" t="s">
        <v>948</v>
      </c>
      <c r="B79" s="19" t="s">
        <v>949</v>
      </c>
      <c r="C79" s="74" t="s">
        <v>724</v>
      </c>
      <c r="D79" s="75" t="s">
        <v>288</v>
      </c>
      <c r="E79" s="76">
        <v>565</v>
      </c>
      <c r="F79" s="77">
        <v>520</v>
      </c>
      <c r="G79" s="410">
        <v>515</v>
      </c>
      <c r="H79" s="78">
        <v>65715</v>
      </c>
      <c r="I79" s="77">
        <v>67380</v>
      </c>
      <c r="J79" s="410">
        <v>68278</v>
      </c>
      <c r="K79" s="410">
        <v>69057.295000000013</v>
      </c>
      <c r="L79" s="418">
        <v>69829.771999999997</v>
      </c>
      <c r="M79" s="79">
        <v>859.8</v>
      </c>
      <c r="N79" s="80">
        <v>771.8</v>
      </c>
      <c r="O79" s="421">
        <v>767.3</v>
      </c>
      <c r="P79" s="71">
        <v>472</v>
      </c>
      <c r="Q79" s="75" t="s">
        <v>288</v>
      </c>
      <c r="R79" s="81">
        <v>290</v>
      </c>
      <c r="S79" s="77">
        <v>275</v>
      </c>
      <c r="T79" s="452">
        <v>330</v>
      </c>
      <c r="U79" s="77">
        <v>355</v>
      </c>
      <c r="V79" s="77">
        <v>345</v>
      </c>
      <c r="W79" s="452">
        <v>415</v>
      </c>
      <c r="X79" s="82">
        <v>81.8</v>
      </c>
      <c r="Y79" s="83">
        <v>79.900000000000006</v>
      </c>
      <c r="Z79" s="443">
        <v>78.900000000000006</v>
      </c>
      <c r="AA79" s="63">
        <v>1886</v>
      </c>
      <c r="AB79" s="63">
        <v>2300</v>
      </c>
      <c r="AC79" s="19" t="s">
        <v>288</v>
      </c>
      <c r="AD79" s="84">
        <v>1024</v>
      </c>
      <c r="AE79" s="85">
        <v>1217</v>
      </c>
      <c r="AF79" s="85">
        <v>1166</v>
      </c>
      <c r="AG79" s="85">
        <v>1255</v>
      </c>
      <c r="AH79" s="85">
        <v>976</v>
      </c>
      <c r="AI79" s="85">
        <v>720</v>
      </c>
      <c r="AJ79" s="85">
        <v>638</v>
      </c>
      <c r="AK79" s="85">
        <v>658</v>
      </c>
      <c r="AL79" s="96">
        <v>710</v>
      </c>
      <c r="AM79" s="96">
        <v>732</v>
      </c>
      <c r="AN79" s="96">
        <v>811</v>
      </c>
      <c r="AO79" s="96">
        <v>741</v>
      </c>
      <c r="AP79" s="96">
        <v>831</v>
      </c>
      <c r="AQ79" s="96">
        <v>744</v>
      </c>
      <c r="AR79" s="96">
        <v>775</v>
      </c>
      <c r="AS79" s="96">
        <v>904</v>
      </c>
      <c r="AT79" s="96">
        <v>1129</v>
      </c>
      <c r="AU79" s="96">
        <v>978</v>
      </c>
      <c r="AV79" s="96">
        <v>965</v>
      </c>
      <c r="AW79" s="96">
        <v>1103</v>
      </c>
      <c r="AX79" s="97">
        <v>996</v>
      </c>
      <c r="AY79" s="97">
        <v>904</v>
      </c>
      <c r="AZ79" s="97">
        <v>856</v>
      </c>
      <c r="BA79" s="97">
        <v>887</v>
      </c>
      <c r="BB79" s="97">
        <v>994</v>
      </c>
      <c r="BC79" s="97">
        <v>830</v>
      </c>
      <c r="BD79" s="87">
        <v>1003</v>
      </c>
      <c r="BE79" s="87">
        <v>761</v>
      </c>
      <c r="BF79" s="87">
        <v>717</v>
      </c>
      <c r="BG79" s="87">
        <v>897</v>
      </c>
      <c r="BH79" s="87">
        <v>1188</v>
      </c>
      <c r="BI79" s="87">
        <v>1071</v>
      </c>
      <c r="BJ79" s="87">
        <v>874</v>
      </c>
      <c r="BK79" s="87">
        <v>939</v>
      </c>
      <c r="BL79" s="87">
        <v>798</v>
      </c>
      <c r="BM79" s="87">
        <v>855</v>
      </c>
      <c r="BN79" s="87">
        <v>751</v>
      </c>
      <c r="BO79" s="87">
        <v>804</v>
      </c>
      <c r="BP79" s="87">
        <v>854</v>
      </c>
      <c r="BQ79" s="87">
        <v>793</v>
      </c>
      <c r="BR79" s="96">
        <v>944</v>
      </c>
      <c r="BS79" s="96">
        <v>939</v>
      </c>
      <c r="BT79" s="96">
        <v>760</v>
      </c>
      <c r="BU79" s="96">
        <v>851</v>
      </c>
      <c r="BV79" s="67">
        <v>2611</v>
      </c>
      <c r="BW79" s="67">
        <v>2410</v>
      </c>
      <c r="BX79" s="67">
        <v>2591</v>
      </c>
      <c r="BY79" s="67">
        <v>2550</v>
      </c>
      <c r="BZ79" s="68">
        <v>2565.4492600422836</v>
      </c>
      <c r="CA79" s="68">
        <v>2550.5095137420722</v>
      </c>
      <c r="CB79" s="68">
        <v>2535.5697674418607</v>
      </c>
      <c r="CC79" s="68">
        <v>2520.6300211416492</v>
      </c>
      <c r="CD79" s="68">
        <v>2505.6902748414377</v>
      </c>
      <c r="CE79" s="68">
        <v>2490.7505285412262</v>
      </c>
      <c r="CF79" s="68">
        <v>2475.8107822410147</v>
      </c>
      <c r="CG79" s="68">
        <v>2460.8710359408033</v>
      </c>
      <c r="CH79" s="87">
        <v>380300</v>
      </c>
      <c r="CI79" s="467">
        <v>381379</v>
      </c>
      <c r="CJ79" s="467">
        <v>381404.93399999989</v>
      </c>
      <c r="CK79" s="467">
        <v>382069.32299999992</v>
      </c>
      <c r="CL79" s="468">
        <v>382665.13900000002</v>
      </c>
      <c r="CM79" s="19" t="s">
        <v>288</v>
      </c>
      <c r="CN79" s="70">
        <v>1082</v>
      </c>
      <c r="CO79" s="70">
        <v>1123</v>
      </c>
      <c r="CP79" s="70">
        <v>1024</v>
      </c>
      <c r="CQ79" s="70">
        <v>1030</v>
      </c>
      <c r="CR79" s="70">
        <v>966</v>
      </c>
      <c r="CS79" s="70">
        <v>1063</v>
      </c>
      <c r="CT79" s="70">
        <v>1228</v>
      </c>
      <c r="CU79" s="70">
        <v>1230</v>
      </c>
      <c r="CV79" s="70">
        <v>1383</v>
      </c>
      <c r="CW79" s="70">
        <v>1044</v>
      </c>
      <c r="CX79" s="70">
        <v>1104</v>
      </c>
      <c r="CY79" s="70">
        <v>1267</v>
      </c>
      <c r="CZ79" s="70">
        <v>1157</v>
      </c>
      <c r="DA79" s="70">
        <v>1262</v>
      </c>
      <c r="DB79" s="70">
        <v>1044</v>
      </c>
      <c r="DC79" s="70">
        <v>1073</v>
      </c>
      <c r="DD79" s="70">
        <v>964</v>
      </c>
      <c r="DE79" s="70">
        <v>1066</v>
      </c>
      <c r="DF79" s="70">
        <v>1218</v>
      </c>
      <c r="DG79" s="70">
        <v>1221</v>
      </c>
      <c r="DH79" s="70">
        <v>1579</v>
      </c>
      <c r="DI79" s="70">
        <v>1364</v>
      </c>
      <c r="DJ79" s="70">
        <v>1058</v>
      </c>
      <c r="DK79" s="70">
        <v>1029</v>
      </c>
      <c r="DL79" s="46">
        <v>879</v>
      </c>
      <c r="DM79" s="46">
        <v>900</v>
      </c>
      <c r="DN79" s="46">
        <v>823</v>
      </c>
      <c r="DO79" s="46">
        <v>814</v>
      </c>
      <c r="DP79" s="46">
        <v>840</v>
      </c>
      <c r="DQ79" s="46">
        <v>939</v>
      </c>
      <c r="DR79" s="46">
        <v>937</v>
      </c>
      <c r="DS79" s="46">
        <v>931</v>
      </c>
      <c r="DT79" s="46">
        <v>957</v>
      </c>
      <c r="DU79" s="46">
        <v>1010</v>
      </c>
      <c r="DV79" s="46">
        <v>904</v>
      </c>
      <c r="DW79" s="46">
        <v>878</v>
      </c>
      <c r="DX79" s="46">
        <v>937</v>
      </c>
      <c r="DY79" s="46">
        <v>881</v>
      </c>
      <c r="DZ79" s="46">
        <v>808</v>
      </c>
      <c r="EA79" s="46">
        <v>803</v>
      </c>
      <c r="EB79" s="46">
        <v>770</v>
      </c>
      <c r="EC79" s="46">
        <v>771</v>
      </c>
      <c r="ED79" s="46">
        <v>880</v>
      </c>
      <c r="EE79" s="46">
        <v>926</v>
      </c>
      <c r="EF79" s="46">
        <v>999</v>
      </c>
      <c r="EG79" s="46">
        <v>1029</v>
      </c>
      <c r="EH79" s="46">
        <v>912</v>
      </c>
      <c r="EI79" s="46">
        <v>974</v>
      </c>
      <c r="EJ79" s="46">
        <v>903</v>
      </c>
      <c r="EK79" s="46">
        <v>897</v>
      </c>
      <c r="EL79" s="46">
        <v>832</v>
      </c>
      <c r="EM79" s="46">
        <v>816</v>
      </c>
      <c r="EN79" s="46">
        <v>808</v>
      </c>
      <c r="EO79" s="46">
        <v>810</v>
      </c>
      <c r="EP79" s="46">
        <v>814</v>
      </c>
      <c r="EQ79" s="46">
        <v>905</v>
      </c>
      <c r="ER79" s="46">
        <v>1182</v>
      </c>
      <c r="ES79" s="46">
        <v>949</v>
      </c>
      <c r="ET79" s="46">
        <v>2915</v>
      </c>
      <c r="EU79" s="46">
        <v>2632</v>
      </c>
      <c r="EV79" s="46">
        <v>2434</v>
      </c>
      <c r="EW79" s="46">
        <v>2901</v>
      </c>
      <c r="EX79" s="71">
        <v>2435.3801408840632</v>
      </c>
      <c r="EY79" s="71">
        <v>2383.2757082654034</v>
      </c>
      <c r="EZ79" s="71">
        <v>2331.1712756467441</v>
      </c>
      <c r="FA79" s="71">
        <v>2279.0668430280848</v>
      </c>
      <c r="FB79" s="71">
        <v>2226.9624104094255</v>
      </c>
      <c r="FC79" s="71">
        <v>2174.8579777907657</v>
      </c>
      <c r="FD79" s="71">
        <v>2122.753545172106</v>
      </c>
      <c r="FE79" s="71">
        <v>2070.6491125534467</v>
      </c>
      <c r="FF79" s="72">
        <v>465656</v>
      </c>
      <c r="FG79" s="72">
        <v>469690</v>
      </c>
      <c r="FH79" s="476">
        <v>470780</v>
      </c>
      <c r="FI79" s="476">
        <v>470355.022</v>
      </c>
      <c r="FJ79" s="476">
        <v>470978.12800000003</v>
      </c>
      <c r="FK79" s="476">
        <v>471988.11599999998</v>
      </c>
    </row>
    <row r="80" spans="1:167">
      <c r="A80" s="73" t="s">
        <v>905</v>
      </c>
      <c r="B80" s="19" t="s">
        <v>906</v>
      </c>
      <c r="C80" s="74" t="s">
        <v>725</v>
      </c>
      <c r="D80" s="75" t="s">
        <v>291</v>
      </c>
      <c r="E80" s="76">
        <v>110</v>
      </c>
      <c r="F80" s="77">
        <v>105</v>
      </c>
      <c r="G80" s="410">
        <v>110</v>
      </c>
      <c r="H80" s="78">
        <v>23995</v>
      </c>
      <c r="I80" s="77">
        <v>24500</v>
      </c>
      <c r="J80" s="410">
        <v>24981</v>
      </c>
      <c r="K80" s="410">
        <v>25278.129000000004</v>
      </c>
      <c r="L80" s="418">
        <v>25724.429999999997</v>
      </c>
      <c r="M80" s="79">
        <v>462.6</v>
      </c>
      <c r="N80" s="80">
        <v>432.7</v>
      </c>
      <c r="O80" s="421">
        <v>449</v>
      </c>
      <c r="P80" s="71">
        <v>106.8577733619</v>
      </c>
      <c r="Q80" s="75" t="s">
        <v>291</v>
      </c>
      <c r="R80" s="81">
        <v>145</v>
      </c>
      <c r="S80" s="77">
        <v>120</v>
      </c>
      <c r="T80" s="452">
        <v>95</v>
      </c>
      <c r="U80" s="77">
        <v>250</v>
      </c>
      <c r="V80" s="77">
        <v>165</v>
      </c>
      <c r="W80" s="452">
        <v>115</v>
      </c>
      <c r="X80" s="82">
        <v>57.8</v>
      </c>
      <c r="Y80" s="83">
        <v>73.900000000000006</v>
      </c>
      <c r="Z80" s="443">
        <v>80.3</v>
      </c>
      <c r="AA80" s="63">
        <v>118.13838750000002</v>
      </c>
      <c r="AB80" s="63">
        <v>145</v>
      </c>
      <c r="AC80" s="19" t="s">
        <v>291</v>
      </c>
      <c r="AD80" s="84">
        <v>248</v>
      </c>
      <c r="AE80" s="85">
        <v>236</v>
      </c>
      <c r="AF80" s="85">
        <v>169</v>
      </c>
      <c r="AG80" s="85">
        <v>287</v>
      </c>
      <c r="AH80" s="85">
        <v>283</v>
      </c>
      <c r="AI80" s="85">
        <v>288</v>
      </c>
      <c r="AJ80" s="85">
        <v>372</v>
      </c>
      <c r="AK80" s="85">
        <v>485</v>
      </c>
      <c r="AL80" s="96">
        <v>500</v>
      </c>
      <c r="AM80" s="96">
        <v>400</v>
      </c>
      <c r="AN80" s="96">
        <v>435</v>
      </c>
      <c r="AO80" s="96">
        <v>455</v>
      </c>
      <c r="AP80" s="96">
        <v>481</v>
      </c>
      <c r="AQ80" s="96">
        <v>540</v>
      </c>
      <c r="AR80" s="96">
        <v>338</v>
      </c>
      <c r="AS80" s="96">
        <v>523</v>
      </c>
      <c r="AT80" s="96">
        <v>352</v>
      </c>
      <c r="AU80" s="96">
        <v>414</v>
      </c>
      <c r="AV80" s="96">
        <v>419</v>
      </c>
      <c r="AW80" s="96">
        <v>476</v>
      </c>
      <c r="AX80" s="97">
        <v>448</v>
      </c>
      <c r="AY80" s="97">
        <v>418</v>
      </c>
      <c r="AZ80" s="97">
        <v>525</v>
      </c>
      <c r="BA80" s="97">
        <v>530</v>
      </c>
      <c r="BB80" s="97">
        <v>607</v>
      </c>
      <c r="BC80" s="97">
        <v>561</v>
      </c>
      <c r="BD80" s="87">
        <v>565</v>
      </c>
      <c r="BE80" s="87">
        <v>531</v>
      </c>
      <c r="BF80" s="87">
        <v>533</v>
      </c>
      <c r="BG80" s="87">
        <v>505</v>
      </c>
      <c r="BH80" s="87">
        <v>542</v>
      </c>
      <c r="BI80" s="87">
        <v>481</v>
      </c>
      <c r="BJ80" s="87">
        <v>382</v>
      </c>
      <c r="BK80" s="87">
        <v>427</v>
      </c>
      <c r="BL80" s="87">
        <v>450</v>
      </c>
      <c r="BM80" s="87">
        <v>665</v>
      </c>
      <c r="BN80" s="87">
        <v>307</v>
      </c>
      <c r="BO80" s="87">
        <v>528</v>
      </c>
      <c r="BP80" s="87">
        <v>421</v>
      </c>
      <c r="BQ80" s="87">
        <v>310</v>
      </c>
      <c r="BR80" s="96">
        <v>635</v>
      </c>
      <c r="BS80" s="96">
        <v>571</v>
      </c>
      <c r="BT80" s="96">
        <v>394</v>
      </c>
      <c r="BU80" s="96">
        <v>405</v>
      </c>
      <c r="BV80" s="67">
        <v>1259</v>
      </c>
      <c r="BW80" s="67">
        <v>1500</v>
      </c>
      <c r="BX80" s="67">
        <v>1366</v>
      </c>
      <c r="BY80" s="67">
        <v>1370</v>
      </c>
      <c r="BZ80" s="68">
        <v>1617.6169133192388</v>
      </c>
      <c r="CA80" s="68">
        <v>1654.8968287526427</v>
      </c>
      <c r="CB80" s="68">
        <v>1692.1767441860463</v>
      </c>
      <c r="CC80" s="68">
        <v>1729.4566596194504</v>
      </c>
      <c r="CD80" s="68">
        <v>1766.7365750528543</v>
      </c>
      <c r="CE80" s="68">
        <v>1804.0164904862579</v>
      </c>
      <c r="CF80" s="68">
        <v>1841.2964059196615</v>
      </c>
      <c r="CG80" s="68">
        <v>1878.5763213530654</v>
      </c>
      <c r="CH80" s="87">
        <v>153000</v>
      </c>
      <c r="CI80" s="467">
        <v>154310</v>
      </c>
      <c r="CJ80" s="467">
        <v>156818.00299999994</v>
      </c>
      <c r="CK80" s="467">
        <v>158759.35699999999</v>
      </c>
      <c r="CL80" s="468">
        <v>160760.12200000003</v>
      </c>
      <c r="CM80" s="19" t="s">
        <v>291</v>
      </c>
      <c r="CN80" s="70">
        <v>363</v>
      </c>
      <c r="CO80" s="70">
        <v>349</v>
      </c>
      <c r="CP80" s="70">
        <v>364</v>
      </c>
      <c r="CQ80" s="70">
        <v>321</v>
      </c>
      <c r="CR80" s="70">
        <v>287</v>
      </c>
      <c r="CS80" s="70">
        <v>286</v>
      </c>
      <c r="CT80" s="70">
        <v>389</v>
      </c>
      <c r="CU80" s="70">
        <v>379</v>
      </c>
      <c r="CV80" s="70">
        <v>430</v>
      </c>
      <c r="CW80" s="70">
        <v>378</v>
      </c>
      <c r="CX80" s="70">
        <v>350</v>
      </c>
      <c r="CY80" s="70">
        <v>426</v>
      </c>
      <c r="CZ80" s="70">
        <v>361</v>
      </c>
      <c r="DA80" s="70">
        <v>354</v>
      </c>
      <c r="DB80" s="70">
        <v>341</v>
      </c>
      <c r="DC80" s="70">
        <v>330</v>
      </c>
      <c r="DD80" s="70">
        <v>324</v>
      </c>
      <c r="DE80" s="70">
        <v>339</v>
      </c>
      <c r="DF80" s="70">
        <v>415</v>
      </c>
      <c r="DG80" s="70">
        <v>386</v>
      </c>
      <c r="DH80" s="70">
        <v>504</v>
      </c>
      <c r="DI80" s="70">
        <v>376</v>
      </c>
      <c r="DJ80" s="70">
        <v>375</v>
      </c>
      <c r="DK80" s="70">
        <v>389</v>
      </c>
      <c r="DL80" s="46">
        <v>383</v>
      </c>
      <c r="DM80" s="46">
        <v>351</v>
      </c>
      <c r="DN80" s="46">
        <v>316</v>
      </c>
      <c r="DO80" s="46">
        <v>381</v>
      </c>
      <c r="DP80" s="46">
        <v>306</v>
      </c>
      <c r="DQ80" s="46">
        <v>393</v>
      </c>
      <c r="DR80" s="46">
        <v>382</v>
      </c>
      <c r="DS80" s="46">
        <v>466</v>
      </c>
      <c r="DT80" s="46">
        <v>508</v>
      </c>
      <c r="DU80" s="46">
        <v>469</v>
      </c>
      <c r="DV80" s="46">
        <v>439</v>
      </c>
      <c r="DW80" s="46">
        <v>464</v>
      </c>
      <c r="DX80" s="46">
        <v>404</v>
      </c>
      <c r="DY80" s="46">
        <v>429</v>
      </c>
      <c r="DZ80" s="46">
        <v>392</v>
      </c>
      <c r="EA80" s="46">
        <v>441</v>
      </c>
      <c r="EB80" s="46">
        <v>370</v>
      </c>
      <c r="EC80" s="46">
        <v>428</v>
      </c>
      <c r="ED80" s="46">
        <v>430</v>
      </c>
      <c r="EE80" s="46">
        <v>484</v>
      </c>
      <c r="EF80" s="46">
        <v>507</v>
      </c>
      <c r="EG80" s="46">
        <v>465</v>
      </c>
      <c r="EH80" s="46">
        <v>446</v>
      </c>
      <c r="EI80" s="46">
        <v>440</v>
      </c>
      <c r="EJ80" s="46">
        <v>476</v>
      </c>
      <c r="EK80" s="46">
        <v>468</v>
      </c>
      <c r="EL80" s="46">
        <v>411</v>
      </c>
      <c r="EM80" s="46">
        <v>393</v>
      </c>
      <c r="EN80" s="46">
        <v>381</v>
      </c>
      <c r="EO80" s="46">
        <v>392</v>
      </c>
      <c r="EP80" s="46">
        <v>441</v>
      </c>
      <c r="EQ80" s="46">
        <v>483</v>
      </c>
      <c r="ER80" s="46">
        <v>590</v>
      </c>
      <c r="ES80" s="46">
        <v>385</v>
      </c>
      <c r="ET80" s="46">
        <v>1351</v>
      </c>
      <c r="EU80" s="46">
        <v>1355</v>
      </c>
      <c r="EV80" s="46">
        <v>1166</v>
      </c>
      <c r="EW80" s="46">
        <v>1514</v>
      </c>
      <c r="EX80" s="71">
        <v>1416.8819403857392</v>
      </c>
      <c r="EY80" s="71">
        <v>1436.2811221507889</v>
      </c>
      <c r="EZ80" s="71">
        <v>1455.6803039158387</v>
      </c>
      <c r="FA80" s="71">
        <v>1475.0794856808884</v>
      </c>
      <c r="FB80" s="71">
        <v>1494.4786674459381</v>
      </c>
      <c r="FC80" s="71">
        <v>1513.8778492109877</v>
      </c>
      <c r="FD80" s="71">
        <v>1533.2770309760374</v>
      </c>
      <c r="FE80" s="71">
        <v>1552.6762127410871</v>
      </c>
      <c r="FF80" s="72">
        <v>203641</v>
      </c>
      <c r="FG80" s="72">
        <v>205843</v>
      </c>
      <c r="FH80" s="476">
        <v>207989</v>
      </c>
      <c r="FI80" s="476">
        <v>211110.94200000001</v>
      </c>
      <c r="FJ80" s="476">
        <v>213695.91699999999</v>
      </c>
      <c r="FK80" s="476">
        <v>216419.11799999999</v>
      </c>
    </row>
    <row r="81" spans="1:167">
      <c r="A81" s="73" t="s">
        <v>913</v>
      </c>
      <c r="B81" s="19" t="s">
        <v>914</v>
      </c>
      <c r="C81" s="74" t="s">
        <v>726</v>
      </c>
      <c r="D81" s="75" t="s">
        <v>294</v>
      </c>
      <c r="E81" s="76">
        <v>380</v>
      </c>
      <c r="F81" s="77">
        <v>400</v>
      </c>
      <c r="G81" s="410">
        <v>375</v>
      </c>
      <c r="H81" s="78">
        <v>47625</v>
      </c>
      <c r="I81" s="77">
        <v>48430</v>
      </c>
      <c r="J81" s="410">
        <v>48997</v>
      </c>
      <c r="K81" s="410">
        <v>49392.116999999991</v>
      </c>
      <c r="L81" s="418">
        <v>49894.067000000003</v>
      </c>
      <c r="M81" s="79">
        <v>800</v>
      </c>
      <c r="N81" s="80">
        <v>821.8</v>
      </c>
      <c r="O81" s="421">
        <v>770.2</v>
      </c>
      <c r="P81" s="71">
        <v>398</v>
      </c>
      <c r="Q81" s="75" t="s">
        <v>294</v>
      </c>
      <c r="R81" s="81">
        <v>285</v>
      </c>
      <c r="S81" s="77">
        <v>295</v>
      </c>
      <c r="T81" s="452">
        <v>245</v>
      </c>
      <c r="U81" s="77">
        <v>410</v>
      </c>
      <c r="V81" s="77">
        <v>465</v>
      </c>
      <c r="W81" s="452">
        <v>365</v>
      </c>
      <c r="X81" s="82">
        <v>69.2</v>
      </c>
      <c r="Y81" s="83">
        <v>63.4</v>
      </c>
      <c r="Z81" s="443">
        <v>66.8</v>
      </c>
      <c r="AA81" s="63">
        <v>319</v>
      </c>
      <c r="AB81" s="63">
        <v>495</v>
      </c>
      <c r="AC81" s="19" t="s">
        <v>294</v>
      </c>
      <c r="AD81" s="84">
        <v>807</v>
      </c>
      <c r="AE81" s="85">
        <v>876</v>
      </c>
      <c r="AF81" s="85">
        <v>955</v>
      </c>
      <c r="AG81" s="85">
        <v>1218</v>
      </c>
      <c r="AH81" s="85">
        <v>1032</v>
      </c>
      <c r="AI81" s="85">
        <v>818</v>
      </c>
      <c r="AJ81" s="85">
        <v>867</v>
      </c>
      <c r="AK81" s="85">
        <v>1027</v>
      </c>
      <c r="AL81" s="96">
        <v>786</v>
      </c>
      <c r="AM81" s="96">
        <v>935</v>
      </c>
      <c r="AN81" s="96">
        <v>1026</v>
      </c>
      <c r="AO81" s="96">
        <v>928</v>
      </c>
      <c r="AP81" s="96">
        <v>1057</v>
      </c>
      <c r="AQ81" s="96">
        <v>957</v>
      </c>
      <c r="AR81" s="96">
        <v>840</v>
      </c>
      <c r="AS81" s="96">
        <v>803</v>
      </c>
      <c r="AT81" s="96">
        <v>619</v>
      </c>
      <c r="AU81" s="96">
        <v>622</v>
      </c>
      <c r="AV81" s="96">
        <v>763</v>
      </c>
      <c r="AW81" s="96">
        <v>729</v>
      </c>
      <c r="AX81" s="97">
        <v>828</v>
      </c>
      <c r="AY81" s="97">
        <v>720</v>
      </c>
      <c r="AZ81" s="97">
        <v>749</v>
      </c>
      <c r="BA81" s="97">
        <v>932</v>
      </c>
      <c r="BB81" s="97">
        <v>892</v>
      </c>
      <c r="BC81" s="97">
        <v>590</v>
      </c>
      <c r="BD81" s="87">
        <v>655</v>
      </c>
      <c r="BE81" s="87">
        <v>796</v>
      </c>
      <c r="BF81" s="87">
        <v>767</v>
      </c>
      <c r="BG81" s="87">
        <v>1122</v>
      </c>
      <c r="BH81" s="87">
        <v>1123</v>
      </c>
      <c r="BI81" s="87">
        <v>1089</v>
      </c>
      <c r="BJ81" s="87">
        <v>787</v>
      </c>
      <c r="BK81" s="87">
        <v>904</v>
      </c>
      <c r="BL81" s="87">
        <v>986</v>
      </c>
      <c r="BM81" s="87">
        <v>1179</v>
      </c>
      <c r="BN81" s="87">
        <v>925</v>
      </c>
      <c r="BO81" s="87">
        <v>690</v>
      </c>
      <c r="BP81" s="87">
        <v>755</v>
      </c>
      <c r="BQ81" s="87">
        <v>721</v>
      </c>
      <c r="BR81" s="96">
        <v>561</v>
      </c>
      <c r="BS81" s="96">
        <v>705</v>
      </c>
      <c r="BT81" s="96">
        <v>759</v>
      </c>
      <c r="BU81" s="96">
        <v>911</v>
      </c>
      <c r="BV81" s="67">
        <v>2677</v>
      </c>
      <c r="BW81" s="67">
        <v>2794</v>
      </c>
      <c r="BX81" s="67">
        <v>2037</v>
      </c>
      <c r="BY81" s="67">
        <v>2375</v>
      </c>
      <c r="BZ81" s="68">
        <v>2377.8355179704017</v>
      </c>
      <c r="CA81" s="68">
        <v>2352.2797040169135</v>
      </c>
      <c r="CB81" s="68">
        <v>2326.7238900634252</v>
      </c>
      <c r="CC81" s="68">
        <v>2301.1680761099369</v>
      </c>
      <c r="CD81" s="68">
        <v>2275.6122621564482</v>
      </c>
      <c r="CE81" s="68">
        <v>2250.0564482029595</v>
      </c>
      <c r="CF81" s="68">
        <v>2224.5006342494717</v>
      </c>
      <c r="CG81" s="68">
        <v>2198.9448202959834</v>
      </c>
      <c r="CH81" s="87">
        <v>400000</v>
      </c>
      <c r="CI81" s="467">
        <v>401609</v>
      </c>
      <c r="CJ81" s="467">
        <v>405097.23699999996</v>
      </c>
      <c r="CK81" s="467">
        <v>407974.75700000016</v>
      </c>
      <c r="CL81" s="468">
        <v>411022.81799999991</v>
      </c>
      <c r="CM81" s="19" t="s">
        <v>294</v>
      </c>
      <c r="CN81" s="70">
        <v>975</v>
      </c>
      <c r="CO81" s="70">
        <v>936</v>
      </c>
      <c r="CP81" s="70">
        <v>922</v>
      </c>
      <c r="CQ81" s="70">
        <v>952</v>
      </c>
      <c r="CR81" s="70">
        <v>847</v>
      </c>
      <c r="CS81" s="70">
        <v>1009</v>
      </c>
      <c r="CT81" s="70">
        <v>1126</v>
      </c>
      <c r="CU81" s="70">
        <v>1127</v>
      </c>
      <c r="CV81" s="70">
        <v>1081</v>
      </c>
      <c r="CW81" s="70">
        <v>934</v>
      </c>
      <c r="CX81" s="70">
        <v>1053</v>
      </c>
      <c r="CY81" s="70">
        <v>1136</v>
      </c>
      <c r="CZ81" s="70">
        <v>1065</v>
      </c>
      <c r="DA81" s="70">
        <v>1102</v>
      </c>
      <c r="DB81" s="70">
        <v>1005</v>
      </c>
      <c r="DC81" s="70">
        <v>1135</v>
      </c>
      <c r="DD81" s="70">
        <v>986</v>
      </c>
      <c r="DE81" s="70">
        <v>987</v>
      </c>
      <c r="DF81" s="70">
        <v>1152</v>
      </c>
      <c r="DG81" s="70">
        <v>1257</v>
      </c>
      <c r="DH81" s="70">
        <v>1566</v>
      </c>
      <c r="DI81" s="70">
        <v>1346</v>
      </c>
      <c r="DJ81" s="70">
        <v>1182</v>
      </c>
      <c r="DK81" s="70">
        <v>1310</v>
      </c>
      <c r="DL81" s="46">
        <v>1163</v>
      </c>
      <c r="DM81" s="46">
        <v>1207</v>
      </c>
      <c r="DN81" s="46">
        <v>1121</v>
      </c>
      <c r="DO81" s="46">
        <v>1092</v>
      </c>
      <c r="DP81" s="46">
        <v>953</v>
      </c>
      <c r="DQ81" s="46">
        <v>1102</v>
      </c>
      <c r="DR81" s="46">
        <v>1217</v>
      </c>
      <c r="DS81" s="46">
        <v>1218</v>
      </c>
      <c r="DT81" s="46">
        <v>1233</v>
      </c>
      <c r="DU81" s="46">
        <v>1306</v>
      </c>
      <c r="DV81" s="46">
        <v>1130</v>
      </c>
      <c r="DW81" s="46">
        <v>1124</v>
      </c>
      <c r="DX81" s="46">
        <v>1180</v>
      </c>
      <c r="DY81" s="46">
        <v>1267</v>
      </c>
      <c r="DZ81" s="46">
        <v>1178</v>
      </c>
      <c r="EA81" s="46">
        <v>1132</v>
      </c>
      <c r="EB81" s="46">
        <v>1105</v>
      </c>
      <c r="EC81" s="46">
        <v>1138</v>
      </c>
      <c r="ED81" s="46">
        <v>1335</v>
      </c>
      <c r="EE81" s="46">
        <v>1377</v>
      </c>
      <c r="EF81" s="46">
        <v>1432</v>
      </c>
      <c r="EG81" s="46">
        <v>1314</v>
      </c>
      <c r="EH81" s="46">
        <v>1331</v>
      </c>
      <c r="EI81" s="46">
        <v>1437</v>
      </c>
      <c r="EJ81" s="46">
        <v>1277</v>
      </c>
      <c r="EK81" s="46">
        <v>1252</v>
      </c>
      <c r="EL81" s="46">
        <v>1089</v>
      </c>
      <c r="EM81" s="46">
        <v>1139</v>
      </c>
      <c r="EN81" s="46">
        <v>1039</v>
      </c>
      <c r="EO81" s="46">
        <v>1193</v>
      </c>
      <c r="EP81" s="46">
        <v>1276</v>
      </c>
      <c r="EQ81" s="46">
        <v>1312</v>
      </c>
      <c r="ER81" s="46">
        <v>1481</v>
      </c>
      <c r="ES81" s="46">
        <v>1231</v>
      </c>
      <c r="ET81" s="46">
        <v>4082</v>
      </c>
      <c r="EU81" s="46">
        <v>3618</v>
      </c>
      <c r="EV81" s="46">
        <v>3371</v>
      </c>
      <c r="EW81" s="46">
        <v>4069</v>
      </c>
      <c r="EX81" s="71">
        <v>4010.6486819034726</v>
      </c>
      <c r="EY81" s="71">
        <v>4058.2374726998673</v>
      </c>
      <c r="EZ81" s="71">
        <v>4105.826263496263</v>
      </c>
      <c r="FA81" s="71">
        <v>4153.4150542926573</v>
      </c>
      <c r="FB81" s="71">
        <v>4201.0038450890524</v>
      </c>
      <c r="FC81" s="71">
        <v>4248.5926358854467</v>
      </c>
      <c r="FD81" s="71">
        <v>4296.1814266818419</v>
      </c>
      <c r="FE81" s="71">
        <v>4343.7702174782371</v>
      </c>
      <c r="FF81" s="72">
        <v>502902</v>
      </c>
      <c r="FG81" s="72">
        <v>510772</v>
      </c>
      <c r="FH81" s="476">
        <v>514417</v>
      </c>
      <c r="FI81" s="476">
        <v>518245.12199999997</v>
      </c>
      <c r="FJ81" s="476">
        <v>522148.13</v>
      </c>
      <c r="FK81" s="476">
        <v>526407.49699999997</v>
      </c>
    </row>
    <row r="82" spans="1:167">
      <c r="A82" s="73" t="s">
        <v>950</v>
      </c>
      <c r="B82" s="19" t="s">
        <v>951</v>
      </c>
      <c r="C82" s="74" t="s">
        <v>727</v>
      </c>
      <c r="D82" s="75" t="s">
        <v>297</v>
      </c>
      <c r="E82" s="76">
        <v>295</v>
      </c>
      <c r="F82" s="77">
        <v>295</v>
      </c>
      <c r="G82" s="410">
        <v>245</v>
      </c>
      <c r="H82" s="78">
        <v>37330</v>
      </c>
      <c r="I82" s="77">
        <v>39105</v>
      </c>
      <c r="J82" s="410">
        <v>40569</v>
      </c>
      <c r="K82" s="410">
        <v>41707.519999999997</v>
      </c>
      <c r="L82" s="418">
        <v>42716.178</v>
      </c>
      <c r="M82" s="79">
        <v>795.6</v>
      </c>
      <c r="N82" s="80">
        <v>759.5</v>
      </c>
      <c r="O82" s="421">
        <v>626.5</v>
      </c>
      <c r="P82" s="71">
        <v>267</v>
      </c>
      <c r="Q82" s="75" t="s">
        <v>297</v>
      </c>
      <c r="R82" s="81">
        <v>120</v>
      </c>
      <c r="S82" s="77">
        <v>105</v>
      </c>
      <c r="T82" s="452">
        <v>110</v>
      </c>
      <c r="U82" s="77">
        <v>135</v>
      </c>
      <c r="V82" s="77">
        <v>115</v>
      </c>
      <c r="W82" s="452">
        <v>120</v>
      </c>
      <c r="X82" s="82">
        <v>89.5</v>
      </c>
      <c r="Y82" s="83">
        <v>92.2</v>
      </c>
      <c r="Z82" s="443">
        <v>92.5</v>
      </c>
      <c r="AA82" s="63">
        <v>231</v>
      </c>
      <c r="AB82" s="63">
        <v>250</v>
      </c>
      <c r="AC82" s="19" t="s">
        <v>297</v>
      </c>
      <c r="AD82" s="84">
        <v>607</v>
      </c>
      <c r="AE82" s="85">
        <v>242</v>
      </c>
      <c r="AF82" s="85">
        <v>317</v>
      </c>
      <c r="AG82" s="85">
        <v>480</v>
      </c>
      <c r="AH82" s="85">
        <v>515</v>
      </c>
      <c r="AI82" s="85">
        <v>600</v>
      </c>
      <c r="AJ82" s="85">
        <v>358</v>
      </c>
      <c r="AK82" s="85">
        <v>343</v>
      </c>
      <c r="AL82" s="96">
        <v>254</v>
      </c>
      <c r="AM82" s="96">
        <v>229</v>
      </c>
      <c r="AN82" s="96">
        <v>252</v>
      </c>
      <c r="AO82" s="96">
        <v>246</v>
      </c>
      <c r="AP82" s="96">
        <v>252</v>
      </c>
      <c r="AQ82" s="96">
        <v>369</v>
      </c>
      <c r="AR82" s="96">
        <v>315</v>
      </c>
      <c r="AS82" s="96">
        <v>303</v>
      </c>
      <c r="AT82" s="96">
        <v>154</v>
      </c>
      <c r="AU82" s="96">
        <v>224</v>
      </c>
      <c r="AV82" s="96">
        <v>140</v>
      </c>
      <c r="AW82" s="96">
        <v>268</v>
      </c>
      <c r="AX82" s="97">
        <v>335</v>
      </c>
      <c r="AY82" s="97">
        <v>252</v>
      </c>
      <c r="AZ82" s="97">
        <v>246</v>
      </c>
      <c r="BA82" s="97">
        <v>290</v>
      </c>
      <c r="BB82" s="97">
        <v>399</v>
      </c>
      <c r="BC82" s="97">
        <v>235</v>
      </c>
      <c r="BD82" s="87">
        <v>277</v>
      </c>
      <c r="BE82" s="87">
        <v>175</v>
      </c>
      <c r="BF82" s="87">
        <v>197</v>
      </c>
      <c r="BG82" s="87">
        <v>237</v>
      </c>
      <c r="BH82" s="87">
        <v>199</v>
      </c>
      <c r="BI82" s="87">
        <v>170</v>
      </c>
      <c r="BJ82" s="87">
        <v>265</v>
      </c>
      <c r="BK82" s="87">
        <v>352</v>
      </c>
      <c r="BL82" s="87">
        <v>311</v>
      </c>
      <c r="BM82" s="87">
        <v>219</v>
      </c>
      <c r="BN82" s="87">
        <v>235</v>
      </c>
      <c r="BO82" s="87">
        <v>185</v>
      </c>
      <c r="BP82" s="87">
        <v>204</v>
      </c>
      <c r="BQ82" s="87">
        <v>255</v>
      </c>
      <c r="BR82" s="96">
        <v>238</v>
      </c>
      <c r="BS82" s="96">
        <v>206</v>
      </c>
      <c r="BT82" s="96">
        <v>355</v>
      </c>
      <c r="BU82" s="96">
        <v>635</v>
      </c>
      <c r="BV82" s="67">
        <v>928</v>
      </c>
      <c r="BW82" s="67">
        <v>639</v>
      </c>
      <c r="BX82" s="67">
        <v>697</v>
      </c>
      <c r="BY82" s="67">
        <v>1196</v>
      </c>
      <c r="BZ82" s="68">
        <v>686.45264270613097</v>
      </c>
      <c r="CA82" s="68">
        <v>661.45433403805487</v>
      </c>
      <c r="CB82" s="68">
        <v>636.45602536997876</v>
      </c>
      <c r="CC82" s="68">
        <v>611.45771670190265</v>
      </c>
      <c r="CD82" s="68">
        <v>586.45940803382655</v>
      </c>
      <c r="CE82" s="68">
        <v>561.46109936575044</v>
      </c>
      <c r="CF82" s="68">
        <v>536.46279069767434</v>
      </c>
      <c r="CG82" s="68">
        <v>511.46448202959823</v>
      </c>
      <c r="CH82" s="87">
        <v>206800</v>
      </c>
      <c r="CI82" s="467">
        <v>209266</v>
      </c>
      <c r="CJ82" s="467">
        <v>210863.77100000007</v>
      </c>
      <c r="CK82" s="467">
        <v>213004.57700000008</v>
      </c>
      <c r="CL82" s="468">
        <v>215061.64799999999</v>
      </c>
      <c r="CM82" s="19" t="s">
        <v>297</v>
      </c>
      <c r="CN82" s="70">
        <v>467</v>
      </c>
      <c r="CO82" s="70">
        <v>447</v>
      </c>
      <c r="CP82" s="70">
        <v>375</v>
      </c>
      <c r="CQ82" s="70">
        <v>400</v>
      </c>
      <c r="CR82" s="70">
        <v>334</v>
      </c>
      <c r="CS82" s="70">
        <v>366</v>
      </c>
      <c r="CT82" s="70">
        <v>436</v>
      </c>
      <c r="CU82" s="70">
        <v>455</v>
      </c>
      <c r="CV82" s="70">
        <v>550</v>
      </c>
      <c r="CW82" s="70">
        <v>406</v>
      </c>
      <c r="CX82" s="70">
        <v>452</v>
      </c>
      <c r="CY82" s="70">
        <v>471</v>
      </c>
      <c r="CZ82" s="70">
        <v>477</v>
      </c>
      <c r="DA82" s="70">
        <v>440</v>
      </c>
      <c r="DB82" s="70">
        <v>393</v>
      </c>
      <c r="DC82" s="70">
        <v>385</v>
      </c>
      <c r="DD82" s="70">
        <v>429</v>
      </c>
      <c r="DE82" s="70">
        <v>428</v>
      </c>
      <c r="DF82" s="70">
        <v>495</v>
      </c>
      <c r="DG82" s="70">
        <v>515</v>
      </c>
      <c r="DH82" s="70">
        <v>497</v>
      </c>
      <c r="DI82" s="70">
        <v>477</v>
      </c>
      <c r="DJ82" s="70">
        <v>461</v>
      </c>
      <c r="DK82" s="70">
        <v>480</v>
      </c>
      <c r="DL82" s="46">
        <v>470</v>
      </c>
      <c r="DM82" s="46">
        <v>392</v>
      </c>
      <c r="DN82" s="46">
        <v>410</v>
      </c>
      <c r="DO82" s="46">
        <v>368</v>
      </c>
      <c r="DP82" s="46">
        <v>392</v>
      </c>
      <c r="DQ82" s="46">
        <v>405</v>
      </c>
      <c r="DR82" s="46">
        <v>466</v>
      </c>
      <c r="DS82" s="46">
        <v>481</v>
      </c>
      <c r="DT82" s="46">
        <v>528</v>
      </c>
      <c r="DU82" s="46">
        <v>500</v>
      </c>
      <c r="DV82" s="46">
        <v>518</v>
      </c>
      <c r="DW82" s="46">
        <v>551</v>
      </c>
      <c r="DX82" s="46">
        <v>502</v>
      </c>
      <c r="DY82" s="46">
        <v>466</v>
      </c>
      <c r="DZ82" s="46">
        <v>441</v>
      </c>
      <c r="EA82" s="46">
        <v>463</v>
      </c>
      <c r="EB82" s="46">
        <v>448</v>
      </c>
      <c r="EC82" s="46">
        <v>405</v>
      </c>
      <c r="ED82" s="46">
        <v>484</v>
      </c>
      <c r="EE82" s="46">
        <v>531</v>
      </c>
      <c r="EF82" s="46">
        <v>542</v>
      </c>
      <c r="EG82" s="46">
        <v>496</v>
      </c>
      <c r="EH82" s="46">
        <v>445</v>
      </c>
      <c r="EI82" s="46">
        <v>499</v>
      </c>
      <c r="EJ82" s="46">
        <v>505</v>
      </c>
      <c r="EK82" s="46">
        <v>448</v>
      </c>
      <c r="EL82" s="46">
        <v>416</v>
      </c>
      <c r="EM82" s="46">
        <v>465</v>
      </c>
      <c r="EN82" s="46">
        <v>383</v>
      </c>
      <c r="EO82" s="46">
        <v>420</v>
      </c>
      <c r="EP82" s="46">
        <v>523</v>
      </c>
      <c r="EQ82" s="46">
        <v>491</v>
      </c>
      <c r="ER82" s="46">
        <v>599</v>
      </c>
      <c r="ES82" s="46">
        <v>417</v>
      </c>
      <c r="ET82" s="46">
        <v>1440</v>
      </c>
      <c r="EU82" s="46">
        <v>1369</v>
      </c>
      <c r="EV82" s="46">
        <v>1268</v>
      </c>
      <c r="EW82" s="46">
        <v>1613</v>
      </c>
      <c r="EX82" s="71">
        <v>1474.9092251376542</v>
      </c>
      <c r="EY82" s="71">
        <v>1484.5008459195915</v>
      </c>
      <c r="EZ82" s="71">
        <v>1494.0924667015288</v>
      </c>
      <c r="FA82" s="71">
        <v>1503.6840874834661</v>
      </c>
      <c r="FB82" s="71">
        <v>1513.2757082654034</v>
      </c>
      <c r="FC82" s="71">
        <v>1522.8673290473407</v>
      </c>
      <c r="FD82" s="71">
        <v>1532.458949829278</v>
      </c>
      <c r="FE82" s="71">
        <v>1542.0505706112153</v>
      </c>
      <c r="FF82" s="72">
        <v>264885</v>
      </c>
      <c r="FG82" s="72">
        <v>268218</v>
      </c>
      <c r="FH82" s="476">
        <v>271105</v>
      </c>
      <c r="FI82" s="476">
        <v>272864.93199999997</v>
      </c>
      <c r="FJ82" s="476">
        <v>275315.87699999998</v>
      </c>
      <c r="FK82" s="476">
        <v>277856.75199999998</v>
      </c>
    </row>
    <row r="83" spans="1:167">
      <c r="A83" s="73" t="s">
        <v>907</v>
      </c>
      <c r="B83" s="19" t="s">
        <v>908</v>
      </c>
      <c r="C83" s="74" t="s">
        <v>728</v>
      </c>
      <c r="D83" s="75" t="s">
        <v>300</v>
      </c>
      <c r="E83" s="76">
        <v>150</v>
      </c>
      <c r="F83" s="77">
        <v>100</v>
      </c>
      <c r="G83" s="410">
        <v>125</v>
      </c>
      <c r="H83" s="78">
        <v>23215</v>
      </c>
      <c r="I83" s="77">
        <v>23765</v>
      </c>
      <c r="J83" s="410">
        <v>24227</v>
      </c>
      <c r="K83" s="410">
        <v>24799.505999999998</v>
      </c>
      <c r="L83" s="418">
        <v>25299.301999999996</v>
      </c>
      <c r="M83" s="79">
        <v>641.79999999999995</v>
      </c>
      <c r="N83" s="80">
        <v>420.8</v>
      </c>
      <c r="O83" s="421">
        <v>517.6</v>
      </c>
      <c r="P83" s="71">
        <v>100</v>
      </c>
      <c r="Q83" s="75" t="s">
        <v>300</v>
      </c>
      <c r="R83" s="81">
        <v>50</v>
      </c>
      <c r="S83" s="77">
        <v>25</v>
      </c>
      <c r="T83" s="452">
        <v>45</v>
      </c>
      <c r="U83" s="77">
        <v>65</v>
      </c>
      <c r="V83" s="77">
        <v>30</v>
      </c>
      <c r="W83" s="452">
        <v>55</v>
      </c>
      <c r="X83" s="82">
        <v>81</v>
      </c>
      <c r="Y83" s="83">
        <v>84.4</v>
      </c>
      <c r="Z83" s="443">
        <v>83.3</v>
      </c>
      <c r="AA83" s="63">
        <v>60</v>
      </c>
      <c r="AB83" s="63">
        <v>70</v>
      </c>
      <c r="AC83" s="19" t="s">
        <v>300</v>
      </c>
      <c r="AD83" s="84">
        <v>171</v>
      </c>
      <c r="AE83" s="85">
        <v>103</v>
      </c>
      <c r="AF83" s="85">
        <v>237</v>
      </c>
      <c r="AG83" s="85">
        <v>198</v>
      </c>
      <c r="AH83" s="85">
        <v>85</v>
      </c>
      <c r="AI83" s="85">
        <v>160</v>
      </c>
      <c r="AJ83" s="85">
        <v>133</v>
      </c>
      <c r="AK83" s="85">
        <v>126</v>
      </c>
      <c r="AL83" s="96">
        <v>241</v>
      </c>
      <c r="AM83" s="96">
        <v>221</v>
      </c>
      <c r="AN83" s="96">
        <v>149</v>
      </c>
      <c r="AO83" s="96">
        <v>73</v>
      </c>
      <c r="AP83" s="96">
        <v>86</v>
      </c>
      <c r="AQ83" s="96">
        <v>135</v>
      </c>
      <c r="AR83" s="96">
        <v>103</v>
      </c>
      <c r="AS83" s="96">
        <v>128</v>
      </c>
      <c r="AT83" s="96">
        <v>100</v>
      </c>
      <c r="AU83" s="96">
        <v>42</v>
      </c>
      <c r="AV83" s="96">
        <v>183</v>
      </c>
      <c r="AW83" s="96">
        <v>85</v>
      </c>
      <c r="AX83" s="97">
        <v>129</v>
      </c>
      <c r="AY83" s="97">
        <v>160</v>
      </c>
      <c r="AZ83" s="97">
        <v>58</v>
      </c>
      <c r="BA83" s="97">
        <v>90</v>
      </c>
      <c r="BB83" s="97">
        <v>116</v>
      </c>
      <c r="BC83" s="97">
        <v>113</v>
      </c>
      <c r="BD83" s="87">
        <v>73</v>
      </c>
      <c r="BE83" s="87">
        <v>150</v>
      </c>
      <c r="BF83" s="87">
        <v>132</v>
      </c>
      <c r="BG83" s="87">
        <v>150</v>
      </c>
      <c r="BH83" s="87">
        <v>157</v>
      </c>
      <c r="BI83" s="87">
        <v>174</v>
      </c>
      <c r="BJ83" s="87">
        <v>160</v>
      </c>
      <c r="BK83" s="87">
        <v>123</v>
      </c>
      <c r="BL83" s="87">
        <v>173</v>
      </c>
      <c r="BM83" s="87">
        <v>207</v>
      </c>
      <c r="BN83" s="87">
        <v>96</v>
      </c>
      <c r="BO83" s="87">
        <v>115</v>
      </c>
      <c r="BP83" s="87">
        <v>156</v>
      </c>
      <c r="BQ83" s="87">
        <v>158</v>
      </c>
      <c r="BR83" s="96">
        <v>77</v>
      </c>
      <c r="BS83" s="96">
        <v>130</v>
      </c>
      <c r="BT83" s="96">
        <v>32</v>
      </c>
      <c r="BU83" s="96">
        <v>99</v>
      </c>
      <c r="BV83" s="67">
        <v>456</v>
      </c>
      <c r="BW83" s="67">
        <v>418</v>
      </c>
      <c r="BX83" s="67">
        <v>391</v>
      </c>
      <c r="BY83" s="67">
        <v>261</v>
      </c>
      <c r="BZ83" s="68">
        <v>337.56701902748415</v>
      </c>
      <c r="CA83" s="68">
        <v>330.29027484143762</v>
      </c>
      <c r="CB83" s="68">
        <v>323.01353065539115</v>
      </c>
      <c r="CC83" s="68">
        <v>315.73678646934468</v>
      </c>
      <c r="CD83" s="68">
        <v>308.46004228329809</v>
      </c>
      <c r="CE83" s="68">
        <v>301.18329809725162</v>
      </c>
      <c r="CF83" s="68">
        <v>293.90655391120509</v>
      </c>
      <c r="CG83" s="68">
        <v>286.62980972515862</v>
      </c>
      <c r="CH83" s="87">
        <v>157800</v>
      </c>
      <c r="CI83" s="467">
        <v>158248</v>
      </c>
      <c r="CJ83" s="467">
        <v>161565.72300000006</v>
      </c>
      <c r="CK83" s="467">
        <v>163542.08299999998</v>
      </c>
      <c r="CL83" s="468">
        <v>165579.34800000009</v>
      </c>
      <c r="CM83" s="19" t="s">
        <v>300</v>
      </c>
      <c r="CN83" s="70">
        <v>219</v>
      </c>
      <c r="CO83" s="70">
        <v>224</v>
      </c>
      <c r="CP83" s="70">
        <v>211</v>
      </c>
      <c r="CQ83" s="70">
        <v>231</v>
      </c>
      <c r="CR83" s="70">
        <v>192</v>
      </c>
      <c r="CS83" s="70">
        <v>219</v>
      </c>
      <c r="CT83" s="70">
        <v>247</v>
      </c>
      <c r="CU83" s="70">
        <v>246</v>
      </c>
      <c r="CV83" s="70">
        <v>289</v>
      </c>
      <c r="CW83" s="70">
        <v>237</v>
      </c>
      <c r="CX83" s="70">
        <v>247</v>
      </c>
      <c r="CY83" s="70">
        <v>204</v>
      </c>
      <c r="CZ83" s="70">
        <v>209</v>
      </c>
      <c r="DA83" s="70">
        <v>228</v>
      </c>
      <c r="DB83" s="70">
        <v>193</v>
      </c>
      <c r="DC83" s="70">
        <v>196</v>
      </c>
      <c r="DD83" s="70">
        <v>215</v>
      </c>
      <c r="DE83" s="70">
        <v>203</v>
      </c>
      <c r="DF83" s="70">
        <v>249</v>
      </c>
      <c r="DG83" s="70">
        <v>249</v>
      </c>
      <c r="DH83" s="70">
        <v>275</v>
      </c>
      <c r="DI83" s="70">
        <v>240</v>
      </c>
      <c r="DJ83" s="70">
        <v>225</v>
      </c>
      <c r="DK83" s="70">
        <v>240</v>
      </c>
      <c r="DL83" s="46">
        <v>235</v>
      </c>
      <c r="DM83" s="46">
        <v>241</v>
      </c>
      <c r="DN83" s="46">
        <v>217</v>
      </c>
      <c r="DO83" s="46">
        <v>227</v>
      </c>
      <c r="DP83" s="46">
        <v>239</v>
      </c>
      <c r="DQ83" s="46">
        <v>220</v>
      </c>
      <c r="DR83" s="46">
        <v>239</v>
      </c>
      <c r="DS83" s="46">
        <v>247</v>
      </c>
      <c r="DT83" s="46">
        <v>285</v>
      </c>
      <c r="DU83" s="46">
        <v>274</v>
      </c>
      <c r="DV83" s="46">
        <v>311</v>
      </c>
      <c r="DW83" s="46">
        <v>234</v>
      </c>
      <c r="DX83" s="46">
        <v>284</v>
      </c>
      <c r="DY83" s="46">
        <v>275</v>
      </c>
      <c r="DZ83" s="46">
        <v>224</v>
      </c>
      <c r="EA83" s="46">
        <v>285</v>
      </c>
      <c r="EB83" s="46">
        <v>235</v>
      </c>
      <c r="EC83" s="46">
        <v>256</v>
      </c>
      <c r="ED83" s="46">
        <v>281</v>
      </c>
      <c r="EE83" s="46">
        <v>311</v>
      </c>
      <c r="EF83" s="46">
        <v>346</v>
      </c>
      <c r="EG83" s="46">
        <v>307</v>
      </c>
      <c r="EH83" s="46">
        <v>260</v>
      </c>
      <c r="EI83" s="46">
        <v>248</v>
      </c>
      <c r="EJ83" s="46">
        <v>272</v>
      </c>
      <c r="EK83" s="46">
        <v>287</v>
      </c>
      <c r="EL83" s="46">
        <v>257</v>
      </c>
      <c r="EM83" s="46">
        <v>253</v>
      </c>
      <c r="EN83" s="46">
        <v>221</v>
      </c>
      <c r="EO83" s="46">
        <v>286</v>
      </c>
      <c r="EP83" s="46">
        <v>277</v>
      </c>
      <c r="EQ83" s="46">
        <v>265</v>
      </c>
      <c r="ER83" s="46">
        <v>361</v>
      </c>
      <c r="ES83" s="46">
        <v>245</v>
      </c>
      <c r="ET83" s="46">
        <v>815</v>
      </c>
      <c r="EU83" s="46">
        <v>816</v>
      </c>
      <c r="EV83" s="46">
        <v>760</v>
      </c>
      <c r="EW83" s="46">
        <v>903</v>
      </c>
      <c r="EX83" s="71">
        <v>869.55372358423824</v>
      </c>
      <c r="EY83" s="71">
        <v>880.62287366575424</v>
      </c>
      <c r="EZ83" s="71">
        <v>891.69202374727013</v>
      </c>
      <c r="FA83" s="71">
        <v>902.7611738287859</v>
      </c>
      <c r="FB83" s="71">
        <v>913.83032391030179</v>
      </c>
      <c r="FC83" s="71">
        <v>924.89947399181779</v>
      </c>
      <c r="FD83" s="71">
        <v>935.96862407333356</v>
      </c>
      <c r="FE83" s="71">
        <v>947.03777415484956</v>
      </c>
      <c r="FF83" s="72">
        <v>200543</v>
      </c>
      <c r="FG83" s="72">
        <v>202225</v>
      </c>
      <c r="FH83" s="476">
        <v>203223</v>
      </c>
      <c r="FI83" s="476">
        <v>207588.42499999999</v>
      </c>
      <c r="FJ83" s="476">
        <v>210322.15</v>
      </c>
      <c r="FK83" s="476">
        <v>213186.84</v>
      </c>
    </row>
    <row r="84" spans="1:167">
      <c r="A84" s="73" t="s">
        <v>935</v>
      </c>
      <c r="B84" s="19" t="s">
        <v>936</v>
      </c>
      <c r="C84" s="74" t="s">
        <v>729</v>
      </c>
      <c r="D84" s="75" t="s">
        <v>303</v>
      </c>
      <c r="E84" s="76">
        <v>145</v>
      </c>
      <c r="F84" s="77">
        <v>195</v>
      </c>
      <c r="G84" s="410">
        <v>270</v>
      </c>
      <c r="H84" s="78">
        <v>20835</v>
      </c>
      <c r="I84" s="77">
        <v>21295</v>
      </c>
      <c r="J84" s="410">
        <v>21662</v>
      </c>
      <c r="K84" s="410">
        <v>22006.345000000001</v>
      </c>
      <c r="L84" s="418">
        <v>22350.764999999999</v>
      </c>
      <c r="M84" s="79">
        <v>691.1</v>
      </c>
      <c r="N84" s="80">
        <v>911.1</v>
      </c>
      <c r="O84" s="421">
        <v>1277.4000000000001</v>
      </c>
      <c r="P84" s="71">
        <v>202.99831195658186</v>
      </c>
      <c r="Q84" s="75" t="s">
        <v>303</v>
      </c>
      <c r="R84" s="81">
        <v>60</v>
      </c>
      <c r="S84" s="77">
        <v>65</v>
      </c>
      <c r="T84" s="452">
        <v>65</v>
      </c>
      <c r="U84" s="77">
        <v>70</v>
      </c>
      <c r="V84" s="77">
        <v>80</v>
      </c>
      <c r="W84" s="452">
        <v>80</v>
      </c>
      <c r="X84" s="82">
        <v>81.7</v>
      </c>
      <c r="Y84" s="83">
        <v>83.3</v>
      </c>
      <c r="Z84" s="443">
        <v>85.9</v>
      </c>
      <c r="AA84" s="63">
        <v>70</v>
      </c>
      <c r="AB84" s="63">
        <v>83</v>
      </c>
      <c r="AC84" s="19" t="s">
        <v>303</v>
      </c>
      <c r="AD84" s="84">
        <v>271</v>
      </c>
      <c r="AE84" s="85">
        <v>300</v>
      </c>
      <c r="AF84" s="85">
        <v>314</v>
      </c>
      <c r="AG84" s="85">
        <v>452</v>
      </c>
      <c r="AH84" s="85">
        <v>123</v>
      </c>
      <c r="AI84" s="85">
        <v>349</v>
      </c>
      <c r="AJ84" s="85">
        <v>500</v>
      </c>
      <c r="AK84" s="85">
        <v>473</v>
      </c>
      <c r="AL84" s="96">
        <v>477</v>
      </c>
      <c r="AM84" s="96">
        <v>283</v>
      </c>
      <c r="AN84" s="96">
        <v>448</v>
      </c>
      <c r="AO84" s="96">
        <v>467</v>
      </c>
      <c r="AP84" s="96">
        <v>614</v>
      </c>
      <c r="AQ84" s="96">
        <v>385</v>
      </c>
      <c r="AR84" s="96">
        <v>469</v>
      </c>
      <c r="AS84" s="96">
        <v>455</v>
      </c>
      <c r="AT84" s="96">
        <v>376</v>
      </c>
      <c r="AU84" s="96">
        <v>544</v>
      </c>
      <c r="AV84" s="96">
        <v>363</v>
      </c>
      <c r="AW84" s="96">
        <v>479</v>
      </c>
      <c r="AX84" s="97">
        <v>413</v>
      </c>
      <c r="AY84" s="97">
        <v>498</v>
      </c>
      <c r="AZ84" s="97">
        <v>500</v>
      </c>
      <c r="BA84" s="97">
        <v>356</v>
      </c>
      <c r="BB84" s="97">
        <v>535</v>
      </c>
      <c r="BC84" s="97">
        <v>489</v>
      </c>
      <c r="BD84" s="87">
        <v>367</v>
      </c>
      <c r="BE84" s="87">
        <v>454</v>
      </c>
      <c r="BF84" s="87">
        <v>579</v>
      </c>
      <c r="BG84" s="87">
        <v>557</v>
      </c>
      <c r="BH84" s="87">
        <v>611</v>
      </c>
      <c r="BI84" s="87">
        <v>511</v>
      </c>
      <c r="BJ84" s="87">
        <v>278</v>
      </c>
      <c r="BK84" s="87">
        <v>339</v>
      </c>
      <c r="BL84" s="87">
        <v>467</v>
      </c>
      <c r="BM84" s="87">
        <v>419</v>
      </c>
      <c r="BN84" s="87">
        <v>384</v>
      </c>
      <c r="BO84" s="87">
        <v>553</v>
      </c>
      <c r="BP84" s="87">
        <v>597</v>
      </c>
      <c r="BQ84" s="87">
        <v>547</v>
      </c>
      <c r="BR84" s="96">
        <v>536</v>
      </c>
      <c r="BS84" s="96">
        <v>570</v>
      </c>
      <c r="BT84" s="96">
        <v>289</v>
      </c>
      <c r="BU84" s="96">
        <v>370</v>
      </c>
      <c r="BV84" s="67">
        <v>1084</v>
      </c>
      <c r="BW84" s="67">
        <v>1356</v>
      </c>
      <c r="BX84" s="67">
        <v>1680</v>
      </c>
      <c r="BY84" s="67">
        <v>1229</v>
      </c>
      <c r="BZ84" s="68">
        <v>1521.8651162790698</v>
      </c>
      <c r="CA84" s="68">
        <v>1547.6264270613106</v>
      </c>
      <c r="CB84" s="68">
        <v>1573.3877378435518</v>
      </c>
      <c r="CC84" s="68">
        <v>1599.1490486257926</v>
      </c>
      <c r="CD84" s="68">
        <v>1624.9103594080336</v>
      </c>
      <c r="CE84" s="68">
        <v>1650.6716701902749</v>
      </c>
      <c r="CF84" s="68">
        <v>1676.4329809725159</v>
      </c>
      <c r="CG84" s="68">
        <v>1702.1942917547567</v>
      </c>
      <c r="CH84" s="87">
        <v>107100</v>
      </c>
      <c r="CI84" s="467">
        <v>107219</v>
      </c>
      <c r="CJ84" s="467">
        <v>107793.485</v>
      </c>
      <c r="CK84" s="467">
        <v>108127.70099999999</v>
      </c>
      <c r="CL84" s="468">
        <v>108385.74700000002</v>
      </c>
      <c r="CM84" s="19" t="s">
        <v>303</v>
      </c>
      <c r="CN84" s="70">
        <v>384</v>
      </c>
      <c r="CO84" s="70">
        <v>327</v>
      </c>
      <c r="CP84" s="70">
        <v>334</v>
      </c>
      <c r="CQ84" s="70">
        <v>393</v>
      </c>
      <c r="CR84" s="70">
        <v>325</v>
      </c>
      <c r="CS84" s="70">
        <v>361</v>
      </c>
      <c r="CT84" s="70">
        <v>408</v>
      </c>
      <c r="CU84" s="70">
        <v>423</v>
      </c>
      <c r="CV84" s="70">
        <v>482</v>
      </c>
      <c r="CW84" s="70">
        <v>377</v>
      </c>
      <c r="CX84" s="70">
        <v>361</v>
      </c>
      <c r="CY84" s="70">
        <v>380</v>
      </c>
      <c r="CZ84" s="70">
        <v>397</v>
      </c>
      <c r="DA84" s="70">
        <v>359</v>
      </c>
      <c r="DB84" s="70">
        <v>328</v>
      </c>
      <c r="DC84" s="70">
        <v>382</v>
      </c>
      <c r="DD84" s="70">
        <v>340</v>
      </c>
      <c r="DE84" s="70">
        <v>323</v>
      </c>
      <c r="DF84" s="70">
        <v>375</v>
      </c>
      <c r="DG84" s="70">
        <v>409</v>
      </c>
      <c r="DH84" s="70">
        <v>527</v>
      </c>
      <c r="DI84" s="70">
        <v>472</v>
      </c>
      <c r="DJ84" s="70">
        <v>421</v>
      </c>
      <c r="DK84" s="70">
        <v>397</v>
      </c>
      <c r="DL84" s="46">
        <v>384</v>
      </c>
      <c r="DM84" s="46">
        <v>332</v>
      </c>
      <c r="DN84" s="46">
        <v>392</v>
      </c>
      <c r="DO84" s="46">
        <v>355</v>
      </c>
      <c r="DP84" s="46">
        <v>347</v>
      </c>
      <c r="DQ84" s="46">
        <v>310</v>
      </c>
      <c r="DR84" s="46">
        <v>401</v>
      </c>
      <c r="DS84" s="46">
        <v>380</v>
      </c>
      <c r="DT84" s="46">
        <v>460</v>
      </c>
      <c r="DU84" s="46">
        <v>424</v>
      </c>
      <c r="DV84" s="46">
        <v>365</v>
      </c>
      <c r="DW84" s="46">
        <v>409</v>
      </c>
      <c r="DX84" s="46">
        <v>389</v>
      </c>
      <c r="DY84" s="46">
        <v>387</v>
      </c>
      <c r="DZ84" s="46">
        <v>346</v>
      </c>
      <c r="EA84" s="46">
        <v>348</v>
      </c>
      <c r="EB84" s="46">
        <v>367</v>
      </c>
      <c r="EC84" s="46">
        <v>357</v>
      </c>
      <c r="ED84" s="46">
        <v>473</v>
      </c>
      <c r="EE84" s="46">
        <v>455</v>
      </c>
      <c r="EF84" s="46">
        <v>591</v>
      </c>
      <c r="EG84" s="46">
        <v>447</v>
      </c>
      <c r="EH84" s="46">
        <v>388</v>
      </c>
      <c r="EI84" s="46">
        <v>439</v>
      </c>
      <c r="EJ84" s="46">
        <v>488</v>
      </c>
      <c r="EK84" s="46">
        <v>396</v>
      </c>
      <c r="EL84" s="46">
        <v>344</v>
      </c>
      <c r="EM84" s="46">
        <v>319</v>
      </c>
      <c r="EN84" s="46">
        <v>312</v>
      </c>
      <c r="EO84" s="46">
        <v>363</v>
      </c>
      <c r="EP84" s="46">
        <v>413</v>
      </c>
      <c r="EQ84" s="46">
        <v>422</v>
      </c>
      <c r="ER84" s="46">
        <v>433</v>
      </c>
      <c r="ES84" s="46">
        <v>428</v>
      </c>
      <c r="ET84" s="46">
        <v>1274</v>
      </c>
      <c r="EU84" s="46">
        <v>1228</v>
      </c>
      <c r="EV84" s="46">
        <v>994</v>
      </c>
      <c r="EW84" s="46">
        <v>1268</v>
      </c>
      <c r="EX84" s="71">
        <v>1242.555169337722</v>
      </c>
      <c r="EY84" s="71">
        <v>1248.6366544649175</v>
      </c>
      <c r="EZ84" s="71">
        <v>1254.7181395921129</v>
      </c>
      <c r="FA84" s="71">
        <v>1260.7996247193087</v>
      </c>
      <c r="FB84" s="71">
        <v>1266.8811098465042</v>
      </c>
      <c r="FC84" s="71">
        <v>1272.9625949736997</v>
      </c>
      <c r="FD84" s="71">
        <v>1279.0440801008954</v>
      </c>
      <c r="FE84" s="71">
        <v>1285.1255652280909</v>
      </c>
      <c r="FF84" s="72">
        <v>138368</v>
      </c>
      <c r="FG84" s="72">
        <v>138744</v>
      </c>
      <c r="FH84" s="476">
        <v>138939</v>
      </c>
      <c r="FI84" s="476">
        <v>139510.75</v>
      </c>
      <c r="FJ84" s="476">
        <v>139937.432</v>
      </c>
      <c r="FK84" s="476">
        <v>140403.408</v>
      </c>
    </row>
    <row r="85" spans="1:167">
      <c r="A85" s="73" t="s">
        <v>905</v>
      </c>
      <c r="B85" s="19" t="s">
        <v>906</v>
      </c>
      <c r="C85" s="74" t="s">
        <v>730</v>
      </c>
      <c r="D85" s="75" t="s">
        <v>306</v>
      </c>
      <c r="E85" s="76">
        <v>240</v>
      </c>
      <c r="F85" s="77">
        <v>230</v>
      </c>
      <c r="G85" s="410">
        <v>200</v>
      </c>
      <c r="H85" s="78">
        <v>27895</v>
      </c>
      <c r="I85" s="77">
        <v>29490</v>
      </c>
      <c r="J85" s="410">
        <v>30877</v>
      </c>
      <c r="K85" s="410">
        <v>32445.806</v>
      </c>
      <c r="L85" s="418">
        <v>33939.107999999993</v>
      </c>
      <c r="M85" s="79">
        <v>867.5</v>
      </c>
      <c r="N85" s="80">
        <v>779.9</v>
      </c>
      <c r="O85" s="421">
        <v>671.4</v>
      </c>
      <c r="P85" s="71">
        <v>239</v>
      </c>
      <c r="Q85" s="75" t="s">
        <v>306</v>
      </c>
      <c r="R85" s="81">
        <v>60</v>
      </c>
      <c r="S85" s="77">
        <v>215</v>
      </c>
      <c r="T85" s="452">
        <v>80</v>
      </c>
      <c r="U85" s="77">
        <v>70</v>
      </c>
      <c r="V85" s="77">
        <v>235</v>
      </c>
      <c r="W85" s="452">
        <v>80</v>
      </c>
      <c r="X85" s="82">
        <v>84.1</v>
      </c>
      <c r="Y85" s="83">
        <v>91.5</v>
      </c>
      <c r="Z85" s="443">
        <v>97.5</v>
      </c>
      <c r="AA85" s="63">
        <v>220</v>
      </c>
      <c r="AB85" s="63">
        <v>240</v>
      </c>
      <c r="AC85" s="19" t="s">
        <v>306</v>
      </c>
      <c r="AD85" s="84">
        <v>222</v>
      </c>
      <c r="AE85" s="85">
        <v>657</v>
      </c>
      <c r="AF85" s="85">
        <v>308</v>
      </c>
      <c r="AG85" s="85">
        <v>296</v>
      </c>
      <c r="AH85" s="85">
        <v>383</v>
      </c>
      <c r="AI85" s="85">
        <v>384</v>
      </c>
      <c r="AJ85" s="85">
        <v>431</v>
      </c>
      <c r="AK85" s="85">
        <v>369</v>
      </c>
      <c r="AL85" s="96">
        <v>381</v>
      </c>
      <c r="AM85" s="96">
        <v>335</v>
      </c>
      <c r="AN85" s="96">
        <v>385</v>
      </c>
      <c r="AO85" s="96">
        <v>337</v>
      </c>
      <c r="AP85" s="96">
        <v>319</v>
      </c>
      <c r="AQ85" s="96">
        <v>268</v>
      </c>
      <c r="AR85" s="96">
        <v>262</v>
      </c>
      <c r="AS85" s="96">
        <v>180</v>
      </c>
      <c r="AT85" s="96">
        <v>237</v>
      </c>
      <c r="AU85" s="96">
        <v>263</v>
      </c>
      <c r="AV85" s="96">
        <v>207</v>
      </c>
      <c r="AW85" s="96">
        <v>291</v>
      </c>
      <c r="AX85" s="97">
        <v>224</v>
      </c>
      <c r="AY85" s="97">
        <v>288</v>
      </c>
      <c r="AZ85" s="97">
        <v>237</v>
      </c>
      <c r="BA85" s="97">
        <v>312</v>
      </c>
      <c r="BB85" s="97">
        <v>343</v>
      </c>
      <c r="BC85" s="97">
        <v>191</v>
      </c>
      <c r="BD85" s="87">
        <v>308</v>
      </c>
      <c r="BE85" s="87">
        <v>329</v>
      </c>
      <c r="BF85" s="87">
        <v>411</v>
      </c>
      <c r="BG85" s="87">
        <v>219</v>
      </c>
      <c r="BH85" s="87">
        <v>301</v>
      </c>
      <c r="BI85" s="87">
        <v>247</v>
      </c>
      <c r="BJ85" s="87">
        <v>304</v>
      </c>
      <c r="BK85" s="87">
        <v>451</v>
      </c>
      <c r="BL85" s="87">
        <v>354</v>
      </c>
      <c r="BM85" s="87">
        <v>686</v>
      </c>
      <c r="BN85" s="87">
        <v>803</v>
      </c>
      <c r="BO85" s="87">
        <v>591</v>
      </c>
      <c r="BP85" s="87">
        <v>500</v>
      </c>
      <c r="BQ85" s="87">
        <v>423</v>
      </c>
      <c r="BR85" s="96">
        <v>543</v>
      </c>
      <c r="BS85" s="96">
        <v>627</v>
      </c>
      <c r="BT85" s="96">
        <v>496</v>
      </c>
      <c r="BU85" s="96">
        <v>553</v>
      </c>
      <c r="BV85" s="67">
        <v>1109</v>
      </c>
      <c r="BW85" s="67">
        <v>2080</v>
      </c>
      <c r="BX85" s="67">
        <v>1466</v>
      </c>
      <c r="BY85" s="67">
        <v>1676</v>
      </c>
      <c r="BZ85" s="68">
        <v>1430.5570824524314</v>
      </c>
      <c r="CA85" s="68">
        <v>1471.6881606765328</v>
      </c>
      <c r="CB85" s="68">
        <v>1512.8192389006342</v>
      </c>
      <c r="CC85" s="68">
        <v>1553.9503171247356</v>
      </c>
      <c r="CD85" s="68">
        <v>1595.0813953488371</v>
      </c>
      <c r="CE85" s="68">
        <v>1636.2124735729385</v>
      </c>
      <c r="CF85" s="68">
        <v>1677.3435517970399</v>
      </c>
      <c r="CG85" s="68">
        <v>1718.4746300211414</v>
      </c>
      <c r="CH85" s="87">
        <v>189500</v>
      </c>
      <c r="CI85" s="467">
        <v>191511</v>
      </c>
      <c r="CJ85" s="467">
        <v>194335.78700000007</v>
      </c>
      <c r="CK85" s="467">
        <v>196885.14400000003</v>
      </c>
      <c r="CL85" s="468">
        <v>199456.8060000001</v>
      </c>
      <c r="CM85" s="19" t="s">
        <v>306</v>
      </c>
      <c r="CN85" s="70">
        <v>355</v>
      </c>
      <c r="CO85" s="70">
        <v>287</v>
      </c>
      <c r="CP85" s="70">
        <v>312</v>
      </c>
      <c r="CQ85" s="70">
        <v>296</v>
      </c>
      <c r="CR85" s="70">
        <v>280</v>
      </c>
      <c r="CS85" s="70">
        <v>310</v>
      </c>
      <c r="CT85" s="70">
        <v>388</v>
      </c>
      <c r="CU85" s="70">
        <v>399</v>
      </c>
      <c r="CV85" s="70">
        <v>450</v>
      </c>
      <c r="CW85" s="70">
        <v>394</v>
      </c>
      <c r="CX85" s="70">
        <v>365</v>
      </c>
      <c r="CY85" s="70">
        <v>442</v>
      </c>
      <c r="CZ85" s="70">
        <v>382</v>
      </c>
      <c r="DA85" s="70">
        <v>340</v>
      </c>
      <c r="DB85" s="70">
        <v>278</v>
      </c>
      <c r="DC85" s="70">
        <v>331</v>
      </c>
      <c r="DD85" s="70">
        <v>287</v>
      </c>
      <c r="DE85" s="70">
        <v>288</v>
      </c>
      <c r="DF85" s="70">
        <v>350</v>
      </c>
      <c r="DG85" s="70">
        <v>394</v>
      </c>
      <c r="DH85" s="70">
        <v>471</v>
      </c>
      <c r="DI85" s="70">
        <v>425</v>
      </c>
      <c r="DJ85" s="70">
        <v>362</v>
      </c>
      <c r="DK85" s="70">
        <v>436</v>
      </c>
      <c r="DL85" s="46">
        <v>379</v>
      </c>
      <c r="DM85" s="46">
        <v>338</v>
      </c>
      <c r="DN85" s="46">
        <v>354</v>
      </c>
      <c r="DO85" s="46">
        <v>314</v>
      </c>
      <c r="DP85" s="46">
        <v>312</v>
      </c>
      <c r="DQ85" s="46">
        <v>301</v>
      </c>
      <c r="DR85" s="46">
        <v>330</v>
      </c>
      <c r="DS85" s="46">
        <v>377</v>
      </c>
      <c r="DT85" s="46">
        <v>442</v>
      </c>
      <c r="DU85" s="46">
        <v>384</v>
      </c>
      <c r="DV85" s="46">
        <v>401</v>
      </c>
      <c r="DW85" s="46">
        <v>405</v>
      </c>
      <c r="DX85" s="46">
        <v>368</v>
      </c>
      <c r="DY85" s="46">
        <v>357</v>
      </c>
      <c r="DZ85" s="46">
        <v>344</v>
      </c>
      <c r="EA85" s="46">
        <v>378</v>
      </c>
      <c r="EB85" s="46">
        <v>311</v>
      </c>
      <c r="EC85" s="46">
        <v>272</v>
      </c>
      <c r="ED85" s="46">
        <v>394</v>
      </c>
      <c r="EE85" s="46">
        <v>444</v>
      </c>
      <c r="EF85" s="46">
        <v>527</v>
      </c>
      <c r="EG85" s="46">
        <v>406</v>
      </c>
      <c r="EH85" s="46">
        <v>357</v>
      </c>
      <c r="EI85" s="46">
        <v>474</v>
      </c>
      <c r="EJ85" s="46">
        <v>505</v>
      </c>
      <c r="EK85" s="46">
        <v>464</v>
      </c>
      <c r="EL85" s="46">
        <v>385</v>
      </c>
      <c r="EM85" s="46">
        <v>437</v>
      </c>
      <c r="EN85" s="46">
        <v>369</v>
      </c>
      <c r="EO85" s="46">
        <v>368</v>
      </c>
      <c r="EP85" s="46">
        <v>391</v>
      </c>
      <c r="EQ85" s="46">
        <v>455</v>
      </c>
      <c r="ER85" s="46">
        <v>568</v>
      </c>
      <c r="ES85" s="46">
        <v>354</v>
      </c>
      <c r="ET85" s="46">
        <v>1237</v>
      </c>
      <c r="EU85" s="46">
        <v>1354</v>
      </c>
      <c r="EV85" s="46">
        <v>1174</v>
      </c>
      <c r="EW85" s="46">
        <v>1414</v>
      </c>
      <c r="EX85" s="71">
        <v>1293.0606293641761</v>
      </c>
      <c r="EY85" s="71">
        <v>1307.9198068227261</v>
      </c>
      <c r="EZ85" s="71">
        <v>1322.7789842812761</v>
      </c>
      <c r="FA85" s="71">
        <v>1337.638161739826</v>
      </c>
      <c r="FB85" s="71">
        <v>1352.4973391983758</v>
      </c>
      <c r="FC85" s="71">
        <v>1367.3565166569258</v>
      </c>
      <c r="FD85" s="71">
        <v>1382.2156941154758</v>
      </c>
      <c r="FE85" s="71">
        <v>1397.0748715740258</v>
      </c>
      <c r="FF85" s="72">
        <v>249895</v>
      </c>
      <c r="FG85" s="72">
        <v>252358</v>
      </c>
      <c r="FH85" s="476">
        <v>255692</v>
      </c>
      <c r="FI85" s="476">
        <v>259456.66500000001</v>
      </c>
      <c r="FJ85" s="476">
        <v>263051.12300000002</v>
      </c>
      <c r="FK85" s="476">
        <v>266701.11</v>
      </c>
    </row>
    <row r="86" spans="1:167">
      <c r="A86" s="73" t="s">
        <v>939</v>
      </c>
      <c r="B86" s="19" t="s">
        <v>940</v>
      </c>
      <c r="C86" s="74" t="s">
        <v>731</v>
      </c>
      <c r="D86" s="75" t="s">
        <v>309</v>
      </c>
      <c r="E86" s="76">
        <v>355</v>
      </c>
      <c r="F86" s="77">
        <v>305</v>
      </c>
      <c r="G86" s="410">
        <v>340</v>
      </c>
      <c r="H86" s="78">
        <v>38895</v>
      </c>
      <c r="I86" s="77">
        <v>40040</v>
      </c>
      <c r="J86" s="410">
        <v>40813</v>
      </c>
      <c r="K86" s="410">
        <v>41333.249000000003</v>
      </c>
      <c r="L86" s="418">
        <v>42062.704000000005</v>
      </c>
      <c r="M86" s="79">
        <v>917.9</v>
      </c>
      <c r="N86" s="80">
        <v>766.7</v>
      </c>
      <c r="O86" s="421">
        <v>844.2</v>
      </c>
      <c r="P86" s="71">
        <v>318</v>
      </c>
      <c r="Q86" s="75" t="s">
        <v>309</v>
      </c>
      <c r="R86" s="81">
        <v>165</v>
      </c>
      <c r="S86" s="77">
        <v>180</v>
      </c>
      <c r="T86" s="452">
        <v>210</v>
      </c>
      <c r="U86" s="77">
        <v>205</v>
      </c>
      <c r="V86" s="77">
        <v>230</v>
      </c>
      <c r="W86" s="452">
        <v>245</v>
      </c>
      <c r="X86" s="82">
        <v>81.099999999999994</v>
      </c>
      <c r="Y86" s="83">
        <v>78.900000000000006</v>
      </c>
      <c r="Z86" s="443">
        <v>84.6</v>
      </c>
      <c r="AA86" s="63">
        <v>249</v>
      </c>
      <c r="AB86" s="63">
        <v>294</v>
      </c>
      <c r="AC86" s="19" t="s">
        <v>309</v>
      </c>
      <c r="AD86" s="84">
        <v>942</v>
      </c>
      <c r="AE86" s="85">
        <v>862</v>
      </c>
      <c r="AF86" s="85">
        <v>1034</v>
      </c>
      <c r="AG86" s="85">
        <v>549</v>
      </c>
      <c r="AH86" s="85">
        <v>855</v>
      </c>
      <c r="AI86" s="85">
        <v>1181</v>
      </c>
      <c r="AJ86" s="85">
        <v>1053</v>
      </c>
      <c r="AK86" s="85">
        <v>975</v>
      </c>
      <c r="AL86" s="96">
        <v>711</v>
      </c>
      <c r="AM86" s="96">
        <v>744</v>
      </c>
      <c r="AN86" s="96">
        <v>852</v>
      </c>
      <c r="AO86" s="96">
        <v>813</v>
      </c>
      <c r="AP86" s="96">
        <v>790</v>
      </c>
      <c r="AQ86" s="96">
        <v>611</v>
      </c>
      <c r="AR86" s="96">
        <v>685</v>
      </c>
      <c r="AS86" s="96">
        <v>664</v>
      </c>
      <c r="AT86" s="96">
        <v>620</v>
      </c>
      <c r="AU86" s="96">
        <v>764</v>
      </c>
      <c r="AV86" s="96">
        <v>523</v>
      </c>
      <c r="AW86" s="96">
        <v>584</v>
      </c>
      <c r="AX86" s="97">
        <v>529</v>
      </c>
      <c r="AY86" s="97">
        <v>732</v>
      </c>
      <c r="AZ86" s="97">
        <v>671</v>
      </c>
      <c r="BA86" s="97">
        <v>666</v>
      </c>
      <c r="BB86" s="97">
        <v>616</v>
      </c>
      <c r="BC86" s="97">
        <v>457</v>
      </c>
      <c r="BD86" s="87">
        <v>333</v>
      </c>
      <c r="BE86" s="87">
        <v>531</v>
      </c>
      <c r="BF86" s="87">
        <v>616</v>
      </c>
      <c r="BG86" s="87">
        <v>746</v>
      </c>
      <c r="BH86" s="87">
        <v>609</v>
      </c>
      <c r="BI86" s="87">
        <v>423</v>
      </c>
      <c r="BJ86" s="87">
        <v>464</v>
      </c>
      <c r="BK86" s="87">
        <v>515</v>
      </c>
      <c r="BL86" s="87">
        <v>522</v>
      </c>
      <c r="BM86" s="87">
        <v>651</v>
      </c>
      <c r="BN86" s="87">
        <v>757</v>
      </c>
      <c r="BO86" s="87">
        <v>724</v>
      </c>
      <c r="BP86" s="87">
        <v>513</v>
      </c>
      <c r="BQ86" s="87">
        <v>385</v>
      </c>
      <c r="BR86" s="96">
        <v>435</v>
      </c>
      <c r="BS86" s="96">
        <v>849</v>
      </c>
      <c r="BT86" s="96">
        <v>650</v>
      </c>
      <c r="BU86" s="96">
        <v>689</v>
      </c>
      <c r="BV86" s="67">
        <v>1501</v>
      </c>
      <c r="BW86" s="67">
        <v>2132</v>
      </c>
      <c r="BX86" s="67">
        <v>1333</v>
      </c>
      <c r="BY86" s="67">
        <v>2188</v>
      </c>
      <c r="BZ86" s="68">
        <v>1443.1194503171246</v>
      </c>
      <c r="CA86" s="68">
        <v>1367.1395348837209</v>
      </c>
      <c r="CB86" s="68">
        <v>1291.159619450317</v>
      </c>
      <c r="CC86" s="68">
        <v>1215.1797040169131</v>
      </c>
      <c r="CD86" s="68">
        <v>1139.1997885835094</v>
      </c>
      <c r="CE86" s="68">
        <v>1063.2198731501053</v>
      </c>
      <c r="CF86" s="68">
        <v>987.23995771670172</v>
      </c>
      <c r="CG86" s="68">
        <v>911.26004228329805</v>
      </c>
      <c r="CH86" s="87">
        <v>227900</v>
      </c>
      <c r="CI86" s="467">
        <v>231453</v>
      </c>
      <c r="CJ86" s="467">
        <v>229176.81500000009</v>
      </c>
      <c r="CK86" s="467">
        <v>229885.94099999993</v>
      </c>
      <c r="CL86" s="468">
        <v>230670.978</v>
      </c>
      <c r="CM86" s="19" t="s">
        <v>309</v>
      </c>
      <c r="CN86" s="70">
        <v>510</v>
      </c>
      <c r="CO86" s="70">
        <v>483</v>
      </c>
      <c r="CP86" s="70">
        <v>489</v>
      </c>
      <c r="CQ86" s="70">
        <v>464</v>
      </c>
      <c r="CR86" s="70">
        <v>416</v>
      </c>
      <c r="CS86" s="70">
        <v>481</v>
      </c>
      <c r="CT86" s="70">
        <v>581</v>
      </c>
      <c r="CU86" s="70">
        <v>496</v>
      </c>
      <c r="CV86" s="70">
        <v>526</v>
      </c>
      <c r="CW86" s="70">
        <v>397</v>
      </c>
      <c r="CX86" s="70">
        <v>384</v>
      </c>
      <c r="CY86" s="70">
        <v>414</v>
      </c>
      <c r="CZ86" s="70">
        <v>383</v>
      </c>
      <c r="DA86" s="70">
        <v>411</v>
      </c>
      <c r="DB86" s="70">
        <v>396</v>
      </c>
      <c r="DC86" s="70">
        <v>435</v>
      </c>
      <c r="DD86" s="70">
        <v>378</v>
      </c>
      <c r="DE86" s="70">
        <v>405</v>
      </c>
      <c r="DF86" s="70">
        <v>408</v>
      </c>
      <c r="DG86" s="70">
        <v>431</v>
      </c>
      <c r="DH86" s="70">
        <v>525</v>
      </c>
      <c r="DI86" s="70">
        <v>495</v>
      </c>
      <c r="DJ86" s="70">
        <v>477</v>
      </c>
      <c r="DK86" s="70">
        <v>536</v>
      </c>
      <c r="DL86" s="46">
        <v>435</v>
      </c>
      <c r="DM86" s="46">
        <v>395</v>
      </c>
      <c r="DN86" s="46">
        <v>382</v>
      </c>
      <c r="DO86" s="46">
        <v>386</v>
      </c>
      <c r="DP86" s="46">
        <v>373</v>
      </c>
      <c r="DQ86" s="46">
        <v>357</v>
      </c>
      <c r="DR86" s="46">
        <v>444</v>
      </c>
      <c r="DS86" s="46">
        <v>421</v>
      </c>
      <c r="DT86" s="46">
        <v>547</v>
      </c>
      <c r="DU86" s="46">
        <v>472</v>
      </c>
      <c r="DV86" s="46">
        <v>493</v>
      </c>
      <c r="DW86" s="46">
        <v>495</v>
      </c>
      <c r="DX86" s="46">
        <v>614</v>
      </c>
      <c r="DY86" s="46">
        <v>592</v>
      </c>
      <c r="DZ86" s="46">
        <v>590</v>
      </c>
      <c r="EA86" s="46">
        <v>611</v>
      </c>
      <c r="EB86" s="46">
        <v>487</v>
      </c>
      <c r="EC86" s="46">
        <v>401</v>
      </c>
      <c r="ED86" s="46">
        <v>487</v>
      </c>
      <c r="EE86" s="46">
        <v>492</v>
      </c>
      <c r="EF86" s="46">
        <v>530</v>
      </c>
      <c r="EG86" s="46">
        <v>426</v>
      </c>
      <c r="EH86" s="46">
        <v>391</v>
      </c>
      <c r="EI86" s="46">
        <v>504</v>
      </c>
      <c r="EJ86" s="46">
        <v>453</v>
      </c>
      <c r="EK86" s="46">
        <v>561</v>
      </c>
      <c r="EL86" s="46">
        <v>488</v>
      </c>
      <c r="EM86" s="46">
        <v>540</v>
      </c>
      <c r="EN86" s="46">
        <v>418</v>
      </c>
      <c r="EO86" s="46">
        <v>505</v>
      </c>
      <c r="EP86" s="46">
        <v>609</v>
      </c>
      <c r="EQ86" s="46">
        <v>594</v>
      </c>
      <c r="ER86" s="46">
        <v>621</v>
      </c>
      <c r="ES86" s="46">
        <v>489</v>
      </c>
      <c r="ET86" s="46">
        <v>1321</v>
      </c>
      <c r="EU86" s="46">
        <v>1502</v>
      </c>
      <c r="EV86" s="46">
        <v>1463</v>
      </c>
      <c r="EW86" s="46">
        <v>1824</v>
      </c>
      <c r="EX86" s="71">
        <v>1571.4962318127289</v>
      </c>
      <c r="EY86" s="71">
        <v>1585.1430988341692</v>
      </c>
      <c r="EZ86" s="71">
        <v>1598.7899658556094</v>
      </c>
      <c r="FA86" s="71">
        <v>1612.4368328770497</v>
      </c>
      <c r="FB86" s="71">
        <v>1626.0836998984896</v>
      </c>
      <c r="FC86" s="71">
        <v>1639.73056691993</v>
      </c>
      <c r="FD86" s="71">
        <v>1653.3774339413699</v>
      </c>
      <c r="FE86" s="71">
        <v>1667.0243009628102</v>
      </c>
      <c r="FF86" s="72">
        <v>279092</v>
      </c>
      <c r="FG86" s="72">
        <v>282442</v>
      </c>
      <c r="FH86" s="476">
        <v>286821</v>
      </c>
      <c r="FI86" s="476">
        <v>284274.82400000002</v>
      </c>
      <c r="FJ86" s="476">
        <v>285146.93800000002</v>
      </c>
      <c r="FK86" s="476">
        <v>286217.234</v>
      </c>
    </row>
    <row r="87" spans="1:167">
      <c r="A87" s="73" t="s">
        <v>899</v>
      </c>
      <c r="B87" s="19" t="s">
        <v>900</v>
      </c>
      <c r="C87" s="74" t="s">
        <v>732</v>
      </c>
      <c r="D87" s="75" t="s">
        <v>312</v>
      </c>
      <c r="E87" s="76">
        <v>50</v>
      </c>
      <c r="F87" s="77">
        <v>100</v>
      </c>
      <c r="G87" s="410">
        <v>95</v>
      </c>
      <c r="H87" s="78">
        <v>20700</v>
      </c>
      <c r="I87" s="77">
        <v>21230</v>
      </c>
      <c r="J87" s="410">
        <v>21869</v>
      </c>
      <c r="K87" s="410">
        <v>22075.871000000003</v>
      </c>
      <c r="L87" s="418">
        <v>22690.649000000001</v>
      </c>
      <c r="M87" s="79">
        <v>246.4</v>
      </c>
      <c r="N87" s="80">
        <v>480.4</v>
      </c>
      <c r="O87" s="421">
        <v>447.4</v>
      </c>
      <c r="P87" s="71">
        <v>103</v>
      </c>
      <c r="Q87" s="75" t="s">
        <v>312</v>
      </c>
      <c r="R87" s="81">
        <v>95</v>
      </c>
      <c r="S87" s="77">
        <v>55</v>
      </c>
      <c r="T87" s="452">
        <v>60</v>
      </c>
      <c r="U87" s="77">
        <v>95</v>
      </c>
      <c r="V87" s="77">
        <v>65</v>
      </c>
      <c r="W87" s="452">
        <v>65</v>
      </c>
      <c r="X87" s="82">
        <v>95.9</v>
      </c>
      <c r="Y87" s="83">
        <v>88.9</v>
      </c>
      <c r="Z87" s="443">
        <v>95.4</v>
      </c>
      <c r="AA87" s="63">
        <v>72</v>
      </c>
      <c r="AB87" s="63">
        <v>80</v>
      </c>
      <c r="AC87" s="19" t="s">
        <v>312</v>
      </c>
      <c r="AD87" s="84">
        <v>516</v>
      </c>
      <c r="AE87" s="85">
        <v>363</v>
      </c>
      <c r="AF87" s="85">
        <v>440</v>
      </c>
      <c r="AG87" s="85">
        <v>477</v>
      </c>
      <c r="AH87" s="85">
        <v>423</v>
      </c>
      <c r="AI87" s="85">
        <v>395</v>
      </c>
      <c r="AJ87" s="85">
        <v>457</v>
      </c>
      <c r="AK87" s="85">
        <v>603</v>
      </c>
      <c r="AL87" s="96">
        <v>483</v>
      </c>
      <c r="AM87" s="96">
        <v>508</v>
      </c>
      <c r="AN87" s="96">
        <v>649</v>
      </c>
      <c r="AO87" s="96">
        <v>654</v>
      </c>
      <c r="AP87" s="96">
        <v>653</v>
      </c>
      <c r="AQ87" s="96">
        <v>588</v>
      </c>
      <c r="AR87" s="96">
        <v>675</v>
      </c>
      <c r="AS87" s="96">
        <v>642</v>
      </c>
      <c r="AT87" s="96">
        <v>614</v>
      </c>
      <c r="AU87" s="96">
        <v>642</v>
      </c>
      <c r="AV87" s="96">
        <v>578</v>
      </c>
      <c r="AW87" s="96">
        <v>592</v>
      </c>
      <c r="AX87" s="97">
        <v>470</v>
      </c>
      <c r="AY87" s="97">
        <v>628</v>
      </c>
      <c r="AZ87" s="97">
        <v>484</v>
      </c>
      <c r="BA87" s="97">
        <v>425</v>
      </c>
      <c r="BB87" s="97">
        <v>373</v>
      </c>
      <c r="BC87" s="97">
        <v>571</v>
      </c>
      <c r="BD87" s="87">
        <v>474</v>
      </c>
      <c r="BE87" s="87">
        <v>301</v>
      </c>
      <c r="BF87" s="87">
        <v>367</v>
      </c>
      <c r="BG87" s="87">
        <v>325</v>
      </c>
      <c r="BH87" s="87">
        <v>94</v>
      </c>
      <c r="BI87" s="87">
        <v>1262</v>
      </c>
      <c r="BJ87" s="87">
        <v>89</v>
      </c>
      <c r="BK87" s="87">
        <v>360</v>
      </c>
      <c r="BL87" s="87">
        <v>302</v>
      </c>
      <c r="BM87" s="87">
        <v>485</v>
      </c>
      <c r="BN87" s="87">
        <v>503</v>
      </c>
      <c r="BO87" s="87">
        <v>466</v>
      </c>
      <c r="BP87" s="87">
        <v>436</v>
      </c>
      <c r="BQ87" s="87">
        <v>248</v>
      </c>
      <c r="BR87" s="96">
        <v>346</v>
      </c>
      <c r="BS87" s="96">
        <v>106</v>
      </c>
      <c r="BT87" s="96">
        <v>43</v>
      </c>
      <c r="BU87" s="96">
        <v>31</v>
      </c>
      <c r="BV87" s="67">
        <v>751</v>
      </c>
      <c r="BW87" s="67">
        <v>1454</v>
      </c>
      <c r="BX87" s="67">
        <v>1030</v>
      </c>
      <c r="BY87" s="67">
        <v>180</v>
      </c>
      <c r="BZ87" s="68">
        <v>901.86384778012689</v>
      </c>
      <c r="CA87" s="68">
        <v>841.68689217758993</v>
      </c>
      <c r="CB87" s="68">
        <v>781.50993657505296</v>
      </c>
      <c r="CC87" s="68">
        <v>721.332980972516</v>
      </c>
      <c r="CD87" s="68">
        <v>661.15602536997881</v>
      </c>
      <c r="CE87" s="68">
        <v>600.97906976744184</v>
      </c>
      <c r="CF87" s="68">
        <v>540.80211416490488</v>
      </c>
      <c r="CG87" s="68">
        <v>480.62515856236791</v>
      </c>
      <c r="CH87" s="87">
        <v>234300</v>
      </c>
      <c r="CI87" s="467">
        <v>237000</v>
      </c>
      <c r="CJ87" s="467">
        <v>244033.77799999999</v>
      </c>
      <c r="CK87" s="467">
        <v>248496.978</v>
      </c>
      <c r="CL87" s="468">
        <v>253134.24499999988</v>
      </c>
      <c r="CM87" s="19" t="s">
        <v>312</v>
      </c>
      <c r="CN87" s="70">
        <v>130</v>
      </c>
      <c r="CO87" s="70">
        <v>174</v>
      </c>
      <c r="CP87" s="70">
        <v>176</v>
      </c>
      <c r="CQ87" s="70">
        <v>160</v>
      </c>
      <c r="CR87" s="70">
        <v>144</v>
      </c>
      <c r="CS87" s="70">
        <v>174</v>
      </c>
      <c r="CT87" s="70">
        <v>187</v>
      </c>
      <c r="CU87" s="70">
        <v>183</v>
      </c>
      <c r="CV87" s="70">
        <v>193</v>
      </c>
      <c r="CW87" s="70">
        <v>160</v>
      </c>
      <c r="CX87" s="70">
        <v>165</v>
      </c>
      <c r="CY87" s="70">
        <v>167</v>
      </c>
      <c r="CZ87" s="70">
        <v>188</v>
      </c>
      <c r="DA87" s="70">
        <v>176</v>
      </c>
      <c r="DB87" s="70">
        <v>184</v>
      </c>
      <c r="DC87" s="70">
        <v>154</v>
      </c>
      <c r="DD87" s="70">
        <v>158</v>
      </c>
      <c r="DE87" s="70">
        <v>152</v>
      </c>
      <c r="DF87" s="70">
        <v>161</v>
      </c>
      <c r="DG87" s="70">
        <v>212</v>
      </c>
      <c r="DH87" s="70">
        <v>236</v>
      </c>
      <c r="DI87" s="70">
        <v>180</v>
      </c>
      <c r="DJ87" s="70">
        <v>150</v>
      </c>
      <c r="DK87" s="70">
        <v>183</v>
      </c>
      <c r="DL87" s="46">
        <v>196</v>
      </c>
      <c r="DM87" s="46">
        <v>209</v>
      </c>
      <c r="DN87" s="46">
        <v>195</v>
      </c>
      <c r="DO87" s="46">
        <v>160</v>
      </c>
      <c r="DP87" s="46">
        <v>141</v>
      </c>
      <c r="DQ87" s="46">
        <v>143</v>
      </c>
      <c r="DR87" s="46">
        <v>192</v>
      </c>
      <c r="DS87" s="46">
        <v>221</v>
      </c>
      <c r="DT87" s="46">
        <v>206</v>
      </c>
      <c r="DU87" s="46">
        <v>174</v>
      </c>
      <c r="DV87" s="46">
        <v>187</v>
      </c>
      <c r="DW87" s="46">
        <v>173</v>
      </c>
      <c r="DX87" s="46">
        <v>156</v>
      </c>
      <c r="DY87" s="46">
        <v>193</v>
      </c>
      <c r="DZ87" s="46">
        <v>199</v>
      </c>
      <c r="EA87" s="46">
        <v>168</v>
      </c>
      <c r="EB87" s="46">
        <v>149</v>
      </c>
      <c r="EC87" s="46">
        <v>162</v>
      </c>
      <c r="ED87" s="46">
        <v>198</v>
      </c>
      <c r="EE87" s="46">
        <v>198</v>
      </c>
      <c r="EF87" s="46">
        <v>209</v>
      </c>
      <c r="EG87" s="46">
        <v>203</v>
      </c>
      <c r="EH87" s="46">
        <v>179</v>
      </c>
      <c r="EI87" s="46">
        <v>170</v>
      </c>
      <c r="EJ87" s="46">
        <v>177</v>
      </c>
      <c r="EK87" s="46">
        <v>203</v>
      </c>
      <c r="EL87" s="46">
        <v>145</v>
      </c>
      <c r="EM87" s="46">
        <v>167</v>
      </c>
      <c r="EN87" s="46">
        <v>122</v>
      </c>
      <c r="EO87" s="46">
        <v>166</v>
      </c>
      <c r="EP87" s="46">
        <v>161</v>
      </c>
      <c r="EQ87" s="46">
        <v>162</v>
      </c>
      <c r="ER87" s="46">
        <v>160</v>
      </c>
      <c r="ES87" s="46">
        <v>127</v>
      </c>
      <c r="ET87" s="46">
        <v>552</v>
      </c>
      <c r="EU87" s="46">
        <v>525</v>
      </c>
      <c r="EV87" s="46">
        <v>455</v>
      </c>
      <c r="EW87" s="46">
        <v>483</v>
      </c>
      <c r="EX87" s="71">
        <v>518.69611492202159</v>
      </c>
      <c r="EY87" s="71">
        <v>518.2670029837891</v>
      </c>
      <c r="EZ87" s="71">
        <v>517.8378910455566</v>
      </c>
      <c r="FA87" s="71">
        <v>517.40877910732411</v>
      </c>
      <c r="FB87" s="71">
        <v>516.97966716909161</v>
      </c>
      <c r="FC87" s="71">
        <v>516.55055523085912</v>
      </c>
      <c r="FD87" s="71">
        <v>516.12144329262662</v>
      </c>
      <c r="FE87" s="71">
        <v>515.69233135439413</v>
      </c>
      <c r="FF87" s="72">
        <v>310460</v>
      </c>
      <c r="FG87" s="72">
        <v>314084</v>
      </c>
      <c r="FH87" s="476">
        <v>318227</v>
      </c>
      <c r="FI87" s="476">
        <v>325102.88500000001</v>
      </c>
      <c r="FJ87" s="476">
        <v>330328.06199999998</v>
      </c>
      <c r="FK87" s="476">
        <v>335954.739</v>
      </c>
    </row>
    <row r="88" spans="1:167">
      <c r="A88" s="73" t="s">
        <v>928</v>
      </c>
      <c r="B88" s="19" t="s">
        <v>929</v>
      </c>
      <c r="C88" s="74" t="s">
        <v>733</v>
      </c>
      <c r="D88" s="75" t="s">
        <v>315</v>
      </c>
      <c r="E88" s="76">
        <v>1425</v>
      </c>
      <c r="F88" s="77">
        <v>1515</v>
      </c>
      <c r="G88" s="410">
        <v>1555</v>
      </c>
      <c r="H88" s="78">
        <v>186930</v>
      </c>
      <c r="I88" s="77">
        <v>194680</v>
      </c>
      <c r="J88" s="410">
        <v>200310</v>
      </c>
      <c r="K88" s="410">
        <v>205335.89899999992</v>
      </c>
      <c r="L88" s="418">
        <v>209789.1039999999</v>
      </c>
      <c r="M88" s="79">
        <v>761.3</v>
      </c>
      <c r="N88" s="80">
        <v>778.7</v>
      </c>
      <c r="O88" s="421">
        <v>799.3</v>
      </c>
      <c r="P88" s="71">
        <v>1386</v>
      </c>
      <c r="Q88" s="75" t="s">
        <v>315</v>
      </c>
      <c r="R88" s="81">
        <v>550</v>
      </c>
      <c r="S88" s="77">
        <v>610</v>
      </c>
      <c r="T88" s="452">
        <v>885</v>
      </c>
      <c r="U88" s="77">
        <v>630</v>
      </c>
      <c r="V88" s="77">
        <v>690</v>
      </c>
      <c r="W88" s="452">
        <v>1015</v>
      </c>
      <c r="X88" s="82">
        <v>87.3</v>
      </c>
      <c r="Y88" s="83">
        <v>88.7</v>
      </c>
      <c r="Z88" s="443">
        <v>87</v>
      </c>
      <c r="AA88" s="63">
        <v>619</v>
      </c>
      <c r="AB88" s="63">
        <v>690</v>
      </c>
      <c r="AC88" s="19" t="s">
        <v>315</v>
      </c>
      <c r="AD88" s="84">
        <v>1492</v>
      </c>
      <c r="AE88" s="85">
        <v>1542</v>
      </c>
      <c r="AF88" s="85">
        <v>1447</v>
      </c>
      <c r="AG88" s="85">
        <v>1540</v>
      </c>
      <c r="AH88" s="85">
        <v>1458</v>
      </c>
      <c r="AI88" s="85">
        <v>1631</v>
      </c>
      <c r="AJ88" s="85">
        <v>1308</v>
      </c>
      <c r="AK88" s="85">
        <v>1300</v>
      </c>
      <c r="AL88" s="96">
        <v>1412</v>
      </c>
      <c r="AM88" s="96">
        <v>1507</v>
      </c>
      <c r="AN88" s="96">
        <v>928</v>
      </c>
      <c r="AO88" s="96">
        <v>1015</v>
      </c>
      <c r="AP88" s="96">
        <v>1483</v>
      </c>
      <c r="AQ88" s="96">
        <v>1394</v>
      </c>
      <c r="AR88" s="96">
        <v>1710</v>
      </c>
      <c r="AS88" s="96">
        <v>1508</v>
      </c>
      <c r="AT88" s="96">
        <v>1528</v>
      </c>
      <c r="AU88" s="96">
        <v>1693</v>
      </c>
      <c r="AV88" s="96">
        <v>1870</v>
      </c>
      <c r="AW88" s="96">
        <v>1835</v>
      </c>
      <c r="AX88" s="97">
        <v>1597</v>
      </c>
      <c r="AY88" s="97">
        <v>1570</v>
      </c>
      <c r="AZ88" s="97">
        <v>1890</v>
      </c>
      <c r="BA88" s="97">
        <v>2390</v>
      </c>
      <c r="BB88" s="97">
        <v>2897</v>
      </c>
      <c r="BC88" s="97">
        <v>2378</v>
      </c>
      <c r="BD88" s="87">
        <v>2470</v>
      </c>
      <c r="BE88" s="87">
        <v>2306</v>
      </c>
      <c r="BF88" s="87">
        <v>2806</v>
      </c>
      <c r="BG88" s="87">
        <v>3018</v>
      </c>
      <c r="BH88" s="87">
        <v>2380</v>
      </c>
      <c r="BI88" s="87">
        <v>2131</v>
      </c>
      <c r="BJ88" s="87">
        <v>2991</v>
      </c>
      <c r="BK88" s="87">
        <v>3335</v>
      </c>
      <c r="BL88" s="87">
        <v>2769</v>
      </c>
      <c r="BM88" s="87">
        <v>2585</v>
      </c>
      <c r="BN88" s="87">
        <v>2928</v>
      </c>
      <c r="BO88" s="87">
        <v>2767</v>
      </c>
      <c r="BP88" s="87">
        <v>2898</v>
      </c>
      <c r="BQ88" s="87">
        <v>2593</v>
      </c>
      <c r="BR88" s="96">
        <v>2000</v>
      </c>
      <c r="BS88" s="96">
        <v>1530</v>
      </c>
      <c r="BT88" s="96">
        <v>1956</v>
      </c>
      <c r="BU88" s="96">
        <v>2045</v>
      </c>
      <c r="BV88" s="67">
        <v>9095</v>
      </c>
      <c r="BW88" s="67">
        <v>8280</v>
      </c>
      <c r="BX88" s="67">
        <v>7491</v>
      </c>
      <c r="BY88" s="67">
        <v>5531</v>
      </c>
      <c r="BZ88" s="68">
        <v>8411.7545454545452</v>
      </c>
      <c r="CA88" s="68">
        <v>8721.1090909090908</v>
      </c>
      <c r="CB88" s="68">
        <v>9030.4636363636364</v>
      </c>
      <c r="CC88" s="68">
        <v>9339.8181818181802</v>
      </c>
      <c r="CD88" s="68">
        <v>9649.1727272727276</v>
      </c>
      <c r="CE88" s="68">
        <v>9958.5272727272732</v>
      </c>
      <c r="CF88" s="68">
        <v>10267.881818181817</v>
      </c>
      <c r="CG88" s="68">
        <v>10577.236363636363</v>
      </c>
      <c r="CH88" s="87">
        <v>699500</v>
      </c>
      <c r="CI88" s="467">
        <v>703639</v>
      </c>
      <c r="CJ88" s="467">
        <v>710213.86699999974</v>
      </c>
      <c r="CK88" s="467">
        <v>715694.21799999999</v>
      </c>
      <c r="CL88" s="468">
        <v>720945.321</v>
      </c>
      <c r="CM88" s="19" t="s">
        <v>315</v>
      </c>
      <c r="CN88" s="70">
        <v>1378</v>
      </c>
      <c r="CO88" s="70">
        <v>1273</v>
      </c>
      <c r="CP88" s="70">
        <v>1203</v>
      </c>
      <c r="CQ88" s="70">
        <v>1237</v>
      </c>
      <c r="CR88" s="70">
        <v>1188</v>
      </c>
      <c r="CS88" s="70">
        <v>1217</v>
      </c>
      <c r="CT88" s="70">
        <v>1486</v>
      </c>
      <c r="CU88" s="70">
        <v>1474</v>
      </c>
      <c r="CV88" s="70">
        <v>1520</v>
      </c>
      <c r="CW88" s="70">
        <v>1625</v>
      </c>
      <c r="CX88" s="70">
        <v>1456</v>
      </c>
      <c r="CY88" s="70">
        <v>1548</v>
      </c>
      <c r="CZ88" s="70">
        <v>1381</v>
      </c>
      <c r="DA88" s="70">
        <v>1422</v>
      </c>
      <c r="DB88" s="70">
        <v>1306</v>
      </c>
      <c r="DC88" s="70">
        <v>1312</v>
      </c>
      <c r="DD88" s="70">
        <v>1205</v>
      </c>
      <c r="DE88" s="70">
        <v>1352</v>
      </c>
      <c r="DF88" s="70">
        <v>1406</v>
      </c>
      <c r="DG88" s="70">
        <v>1453</v>
      </c>
      <c r="DH88" s="70">
        <v>1804</v>
      </c>
      <c r="DI88" s="70">
        <v>1803</v>
      </c>
      <c r="DJ88" s="70">
        <v>1537</v>
      </c>
      <c r="DK88" s="70">
        <v>1582</v>
      </c>
      <c r="DL88" s="46">
        <v>1500</v>
      </c>
      <c r="DM88" s="46">
        <v>1383</v>
      </c>
      <c r="DN88" s="46">
        <v>1400</v>
      </c>
      <c r="DO88" s="46">
        <v>1373</v>
      </c>
      <c r="DP88" s="46">
        <v>1308</v>
      </c>
      <c r="DQ88" s="46">
        <v>1430</v>
      </c>
      <c r="DR88" s="46">
        <v>1392</v>
      </c>
      <c r="DS88" s="46">
        <v>1420</v>
      </c>
      <c r="DT88" s="46">
        <v>1731</v>
      </c>
      <c r="DU88" s="46">
        <v>1648</v>
      </c>
      <c r="DV88" s="46">
        <v>1569</v>
      </c>
      <c r="DW88" s="46">
        <v>1721</v>
      </c>
      <c r="DX88" s="46">
        <v>1653</v>
      </c>
      <c r="DY88" s="46">
        <v>1580</v>
      </c>
      <c r="DZ88" s="46">
        <v>1426</v>
      </c>
      <c r="EA88" s="46">
        <v>1407</v>
      </c>
      <c r="EB88" s="46">
        <v>1382</v>
      </c>
      <c r="EC88" s="46">
        <v>1356</v>
      </c>
      <c r="ED88" s="46">
        <v>1664</v>
      </c>
      <c r="EE88" s="46">
        <v>1628</v>
      </c>
      <c r="EF88" s="46">
        <v>1803</v>
      </c>
      <c r="EG88" s="46">
        <v>1697</v>
      </c>
      <c r="EH88" s="46">
        <v>1668</v>
      </c>
      <c r="EI88" s="46">
        <v>1734</v>
      </c>
      <c r="EJ88" s="46">
        <v>1741</v>
      </c>
      <c r="EK88" s="46">
        <v>1618</v>
      </c>
      <c r="EL88" s="46">
        <v>1577</v>
      </c>
      <c r="EM88" s="46">
        <v>1583</v>
      </c>
      <c r="EN88" s="46">
        <v>1540</v>
      </c>
      <c r="EO88" s="46">
        <v>1515</v>
      </c>
      <c r="EP88" s="46">
        <v>1624</v>
      </c>
      <c r="EQ88" s="46">
        <v>1522</v>
      </c>
      <c r="ER88" s="46">
        <v>1824</v>
      </c>
      <c r="ES88" s="46">
        <v>1582</v>
      </c>
      <c r="ET88" s="46">
        <v>5099</v>
      </c>
      <c r="EU88" s="46">
        <v>4936</v>
      </c>
      <c r="EV88" s="46">
        <v>4638</v>
      </c>
      <c r="EW88" s="46">
        <v>4970</v>
      </c>
      <c r="EX88" s="71">
        <v>5069.1677074041045</v>
      </c>
      <c r="EY88" s="71">
        <v>5120.9089175305307</v>
      </c>
      <c r="EZ88" s="71">
        <v>5172.650127656957</v>
      </c>
      <c r="FA88" s="71">
        <v>5224.3913377833833</v>
      </c>
      <c r="FB88" s="71">
        <v>5276.1325479098105</v>
      </c>
      <c r="FC88" s="71">
        <v>5327.8737580362367</v>
      </c>
      <c r="FD88" s="71">
        <v>5379.614968162663</v>
      </c>
      <c r="FE88" s="71">
        <v>5431.3561782890902</v>
      </c>
      <c r="FF88" s="72">
        <v>859426</v>
      </c>
      <c r="FG88" s="72">
        <v>865302</v>
      </c>
      <c r="FH88" s="476">
        <v>870146</v>
      </c>
      <c r="FI88" s="476">
        <v>876599.16400000011</v>
      </c>
      <c r="FJ88" s="476">
        <v>882569.15899999999</v>
      </c>
      <c r="FK88" s="476">
        <v>888799.41800000006</v>
      </c>
    </row>
    <row r="89" spans="1:167">
      <c r="A89" s="73" t="s">
        <v>943</v>
      </c>
      <c r="B89" s="19" t="s">
        <v>944</v>
      </c>
      <c r="C89" s="74" t="s">
        <v>734</v>
      </c>
      <c r="D89" s="75" t="s">
        <v>318</v>
      </c>
      <c r="E89" s="76">
        <v>140</v>
      </c>
      <c r="F89" s="77">
        <v>210</v>
      </c>
      <c r="G89" s="410">
        <v>205</v>
      </c>
      <c r="H89" s="78">
        <v>28515</v>
      </c>
      <c r="I89" s="77">
        <v>29480</v>
      </c>
      <c r="J89" s="410">
        <v>30145</v>
      </c>
      <c r="K89" s="410">
        <v>30730.026000000005</v>
      </c>
      <c r="L89" s="418">
        <v>31272.061999999998</v>
      </c>
      <c r="M89" s="79">
        <v>491</v>
      </c>
      <c r="N89" s="80">
        <v>705.5</v>
      </c>
      <c r="O89" s="421">
        <v>698.8</v>
      </c>
      <c r="P89" s="71">
        <v>195</v>
      </c>
      <c r="Q89" s="75" t="s">
        <v>318</v>
      </c>
      <c r="R89" s="81">
        <v>70</v>
      </c>
      <c r="S89" s="77">
        <v>50</v>
      </c>
      <c r="T89" s="452">
        <v>50</v>
      </c>
      <c r="U89" s="77">
        <v>70</v>
      </c>
      <c r="V89" s="77">
        <v>55</v>
      </c>
      <c r="W89" s="452">
        <v>55</v>
      </c>
      <c r="X89" s="82">
        <v>98.6</v>
      </c>
      <c r="Y89" s="83">
        <v>98.1</v>
      </c>
      <c r="Z89" s="443">
        <v>94.4</v>
      </c>
      <c r="AA89" s="63">
        <v>61</v>
      </c>
      <c r="AB89" s="63">
        <v>69</v>
      </c>
      <c r="AC89" s="19" t="s">
        <v>318</v>
      </c>
      <c r="AD89" s="84">
        <v>230</v>
      </c>
      <c r="AE89" s="85">
        <v>203</v>
      </c>
      <c r="AF89" s="85">
        <v>180</v>
      </c>
      <c r="AG89" s="85">
        <v>152</v>
      </c>
      <c r="AH89" s="85">
        <v>330</v>
      </c>
      <c r="AI89" s="85">
        <v>201</v>
      </c>
      <c r="AJ89" s="85">
        <v>187</v>
      </c>
      <c r="AK89" s="85">
        <v>180</v>
      </c>
      <c r="AL89" s="96">
        <v>273</v>
      </c>
      <c r="AM89" s="96">
        <v>225</v>
      </c>
      <c r="AN89" s="96">
        <v>250</v>
      </c>
      <c r="AO89" s="96">
        <v>396</v>
      </c>
      <c r="AP89" s="96">
        <v>244</v>
      </c>
      <c r="AQ89" s="96">
        <v>195</v>
      </c>
      <c r="AR89" s="96">
        <v>421</v>
      </c>
      <c r="AS89" s="96">
        <v>305</v>
      </c>
      <c r="AT89" s="96">
        <v>373</v>
      </c>
      <c r="AU89" s="96">
        <v>237</v>
      </c>
      <c r="AV89" s="96">
        <v>240</v>
      </c>
      <c r="AW89" s="96">
        <v>348</v>
      </c>
      <c r="AX89" s="97">
        <v>415</v>
      </c>
      <c r="AY89" s="97">
        <v>127</v>
      </c>
      <c r="AZ89" s="97">
        <v>114</v>
      </c>
      <c r="BA89" s="97">
        <v>200</v>
      </c>
      <c r="BB89" s="97">
        <v>389</v>
      </c>
      <c r="BC89" s="97">
        <v>350</v>
      </c>
      <c r="BD89" s="87">
        <v>297</v>
      </c>
      <c r="BE89" s="87">
        <v>273</v>
      </c>
      <c r="BF89" s="87">
        <v>257</v>
      </c>
      <c r="BG89" s="87">
        <v>219</v>
      </c>
      <c r="BH89" s="87">
        <v>132</v>
      </c>
      <c r="BI89" s="87">
        <v>282</v>
      </c>
      <c r="BJ89" s="87">
        <v>293</v>
      </c>
      <c r="BK89" s="87">
        <v>275</v>
      </c>
      <c r="BL89" s="87">
        <v>482</v>
      </c>
      <c r="BM89" s="87">
        <v>466</v>
      </c>
      <c r="BN89" s="87">
        <v>455</v>
      </c>
      <c r="BO89" s="87">
        <v>334</v>
      </c>
      <c r="BP89" s="87">
        <v>408</v>
      </c>
      <c r="BQ89" s="87">
        <v>97</v>
      </c>
      <c r="BR89" s="96">
        <v>294</v>
      </c>
      <c r="BS89" s="96">
        <v>384</v>
      </c>
      <c r="BT89" s="96">
        <v>223</v>
      </c>
      <c r="BU89" s="96">
        <v>190</v>
      </c>
      <c r="BV89" s="67">
        <v>1050</v>
      </c>
      <c r="BW89" s="67">
        <v>1255</v>
      </c>
      <c r="BX89" s="67">
        <v>799</v>
      </c>
      <c r="BY89" s="67">
        <v>797</v>
      </c>
      <c r="BZ89" s="68">
        <v>972.44291754756864</v>
      </c>
      <c r="CA89" s="68">
        <v>991.03911205073985</v>
      </c>
      <c r="CB89" s="68">
        <v>1009.6353065539113</v>
      </c>
      <c r="CC89" s="68">
        <v>1028.2315010570824</v>
      </c>
      <c r="CD89" s="68">
        <v>1046.8276955602537</v>
      </c>
      <c r="CE89" s="68">
        <v>1065.423890063425</v>
      </c>
      <c r="CF89" s="68">
        <v>1084.0200845665963</v>
      </c>
      <c r="CG89" s="68">
        <v>1102.6162790697674</v>
      </c>
      <c r="CH89" s="87">
        <v>125400</v>
      </c>
      <c r="CI89" s="467">
        <v>125404</v>
      </c>
      <c r="CJ89" s="467">
        <v>125675.34100000001</v>
      </c>
      <c r="CK89" s="467">
        <v>125951.38200000004</v>
      </c>
      <c r="CL89" s="468">
        <v>126136.242</v>
      </c>
      <c r="CM89" s="19" t="s">
        <v>318</v>
      </c>
      <c r="CN89" s="70">
        <v>237</v>
      </c>
      <c r="CO89" s="70">
        <v>229</v>
      </c>
      <c r="CP89" s="70">
        <v>247</v>
      </c>
      <c r="CQ89" s="70">
        <v>213</v>
      </c>
      <c r="CR89" s="70">
        <v>218</v>
      </c>
      <c r="CS89" s="70">
        <v>221</v>
      </c>
      <c r="CT89" s="70">
        <v>215</v>
      </c>
      <c r="CU89" s="70">
        <v>237</v>
      </c>
      <c r="CV89" s="70">
        <v>306</v>
      </c>
      <c r="CW89" s="70">
        <v>230</v>
      </c>
      <c r="CX89" s="70">
        <v>222</v>
      </c>
      <c r="CY89" s="70">
        <v>242</v>
      </c>
      <c r="CZ89" s="70">
        <v>196</v>
      </c>
      <c r="DA89" s="70">
        <v>207</v>
      </c>
      <c r="DB89" s="70">
        <v>204</v>
      </c>
      <c r="DC89" s="70">
        <v>181</v>
      </c>
      <c r="DD89" s="70">
        <v>162</v>
      </c>
      <c r="DE89" s="70">
        <v>203</v>
      </c>
      <c r="DF89" s="70">
        <v>273</v>
      </c>
      <c r="DG89" s="70">
        <v>238</v>
      </c>
      <c r="DH89" s="70">
        <v>344</v>
      </c>
      <c r="DI89" s="70">
        <v>320</v>
      </c>
      <c r="DJ89" s="70">
        <v>224</v>
      </c>
      <c r="DK89" s="70">
        <v>254</v>
      </c>
      <c r="DL89" s="46">
        <v>238</v>
      </c>
      <c r="DM89" s="46">
        <v>204</v>
      </c>
      <c r="DN89" s="46">
        <v>213</v>
      </c>
      <c r="DO89" s="46">
        <v>221</v>
      </c>
      <c r="DP89" s="46">
        <v>202</v>
      </c>
      <c r="DQ89" s="46">
        <v>212</v>
      </c>
      <c r="DR89" s="46">
        <v>223</v>
      </c>
      <c r="DS89" s="46">
        <v>238</v>
      </c>
      <c r="DT89" s="46">
        <v>297</v>
      </c>
      <c r="DU89" s="46">
        <v>243</v>
      </c>
      <c r="DV89" s="46">
        <v>250</v>
      </c>
      <c r="DW89" s="46">
        <v>264</v>
      </c>
      <c r="DX89" s="46">
        <v>244</v>
      </c>
      <c r="DY89" s="46">
        <v>258</v>
      </c>
      <c r="DZ89" s="46">
        <v>254</v>
      </c>
      <c r="EA89" s="46">
        <v>254</v>
      </c>
      <c r="EB89" s="46">
        <v>266</v>
      </c>
      <c r="EC89" s="46">
        <v>239</v>
      </c>
      <c r="ED89" s="46">
        <v>262</v>
      </c>
      <c r="EE89" s="46">
        <v>367</v>
      </c>
      <c r="EF89" s="46">
        <v>371</v>
      </c>
      <c r="EG89" s="46">
        <v>322</v>
      </c>
      <c r="EH89" s="46">
        <v>267</v>
      </c>
      <c r="EI89" s="46">
        <v>310</v>
      </c>
      <c r="EJ89" s="46">
        <v>339</v>
      </c>
      <c r="EK89" s="46">
        <v>293</v>
      </c>
      <c r="EL89" s="46">
        <v>308</v>
      </c>
      <c r="EM89" s="46">
        <v>325</v>
      </c>
      <c r="EN89" s="46">
        <v>285</v>
      </c>
      <c r="EO89" s="46">
        <v>274</v>
      </c>
      <c r="EP89" s="46">
        <v>294</v>
      </c>
      <c r="EQ89" s="46">
        <v>278</v>
      </c>
      <c r="ER89" s="46">
        <v>336</v>
      </c>
      <c r="ES89" s="46">
        <v>222</v>
      </c>
      <c r="ET89" s="46">
        <v>899</v>
      </c>
      <c r="EU89" s="46">
        <v>940</v>
      </c>
      <c r="EV89" s="46">
        <v>884</v>
      </c>
      <c r="EW89" s="46">
        <v>908</v>
      </c>
      <c r="EX89" s="71">
        <v>916.93035774708551</v>
      </c>
      <c r="EY89" s="71">
        <v>930.92605124734689</v>
      </c>
      <c r="EZ89" s="71">
        <v>944.92174474760827</v>
      </c>
      <c r="FA89" s="71">
        <v>958.91743824786977</v>
      </c>
      <c r="FB89" s="71">
        <v>972.91313174813126</v>
      </c>
      <c r="FC89" s="71">
        <v>986.90882524839265</v>
      </c>
      <c r="FD89" s="71">
        <v>1000.9045187486543</v>
      </c>
      <c r="FE89" s="71">
        <v>1014.9002122489155</v>
      </c>
      <c r="FF89" s="72">
        <v>159735</v>
      </c>
      <c r="FG89" s="72">
        <v>159727</v>
      </c>
      <c r="FH89" s="476">
        <v>159827</v>
      </c>
      <c r="FI89" s="476">
        <v>159832.45199999999</v>
      </c>
      <c r="FJ89" s="476">
        <v>159998.84599999999</v>
      </c>
      <c r="FK89" s="476">
        <v>160191.78899999999</v>
      </c>
    </row>
    <row r="90" spans="1:167">
      <c r="A90" s="73" t="s">
        <v>943</v>
      </c>
      <c r="B90" s="19" t="s">
        <v>944</v>
      </c>
      <c r="C90" s="74" t="s">
        <v>735</v>
      </c>
      <c r="D90" s="75" t="s">
        <v>321</v>
      </c>
      <c r="E90" s="76">
        <v>200</v>
      </c>
      <c r="F90" s="77">
        <v>205</v>
      </c>
      <c r="G90" s="410">
        <v>225</v>
      </c>
      <c r="H90" s="78">
        <v>30315</v>
      </c>
      <c r="I90" s="77">
        <v>31545</v>
      </c>
      <c r="J90" s="410">
        <v>32522</v>
      </c>
      <c r="K90" s="410">
        <v>33431.636000000006</v>
      </c>
      <c r="L90" s="418">
        <v>34332.663</v>
      </c>
      <c r="M90" s="79">
        <v>666.3</v>
      </c>
      <c r="N90" s="80">
        <v>649.9</v>
      </c>
      <c r="O90" s="421">
        <v>706.9</v>
      </c>
      <c r="P90" s="71">
        <v>203</v>
      </c>
      <c r="Q90" s="75" t="s">
        <v>321</v>
      </c>
      <c r="R90" s="81">
        <v>70</v>
      </c>
      <c r="S90" s="77">
        <v>95</v>
      </c>
      <c r="T90" s="452">
        <v>90</v>
      </c>
      <c r="U90" s="77">
        <v>85</v>
      </c>
      <c r="V90" s="77">
        <v>105</v>
      </c>
      <c r="W90" s="452">
        <v>100</v>
      </c>
      <c r="X90" s="82">
        <v>81.900000000000006</v>
      </c>
      <c r="Y90" s="83">
        <v>92.2</v>
      </c>
      <c r="Z90" s="443">
        <v>90</v>
      </c>
      <c r="AA90" s="63">
        <v>106</v>
      </c>
      <c r="AB90" s="63">
        <v>113</v>
      </c>
      <c r="AC90" s="19" t="s">
        <v>321</v>
      </c>
      <c r="AD90" s="84">
        <v>91</v>
      </c>
      <c r="AE90" s="85">
        <v>71</v>
      </c>
      <c r="AF90" s="85">
        <v>71</v>
      </c>
      <c r="AG90" s="85">
        <v>60</v>
      </c>
      <c r="AH90" s="85">
        <v>188</v>
      </c>
      <c r="AI90" s="85">
        <v>228</v>
      </c>
      <c r="AJ90" s="85">
        <v>311</v>
      </c>
      <c r="AK90" s="85">
        <v>372</v>
      </c>
      <c r="AL90" s="96">
        <v>233</v>
      </c>
      <c r="AM90" s="96">
        <v>232</v>
      </c>
      <c r="AN90" s="96">
        <v>76</v>
      </c>
      <c r="AO90" s="96">
        <v>90</v>
      </c>
      <c r="AP90" s="96">
        <v>88</v>
      </c>
      <c r="AQ90" s="96">
        <v>98</v>
      </c>
      <c r="AR90" s="96">
        <v>61</v>
      </c>
      <c r="AS90" s="96">
        <v>127</v>
      </c>
      <c r="AT90" s="96">
        <v>197</v>
      </c>
      <c r="AU90" s="96">
        <v>113</v>
      </c>
      <c r="AV90" s="96">
        <v>120</v>
      </c>
      <c r="AW90" s="96">
        <v>77</v>
      </c>
      <c r="AX90" s="97">
        <v>15</v>
      </c>
      <c r="AY90" s="97">
        <v>48</v>
      </c>
      <c r="AZ90" s="97">
        <v>67</v>
      </c>
      <c r="BA90" s="97">
        <v>90</v>
      </c>
      <c r="BB90" s="97">
        <v>146</v>
      </c>
      <c r="BC90" s="97">
        <v>121</v>
      </c>
      <c r="BD90" s="87">
        <v>101</v>
      </c>
      <c r="BE90" s="87">
        <v>76</v>
      </c>
      <c r="BF90" s="87">
        <v>75</v>
      </c>
      <c r="BG90" s="87">
        <v>100</v>
      </c>
      <c r="BH90" s="87">
        <v>61</v>
      </c>
      <c r="BI90" s="87">
        <v>118</v>
      </c>
      <c r="BJ90" s="87">
        <v>92</v>
      </c>
      <c r="BK90" s="87">
        <v>139</v>
      </c>
      <c r="BL90" s="87">
        <v>91</v>
      </c>
      <c r="BM90" s="87">
        <v>94</v>
      </c>
      <c r="BN90" s="87">
        <v>140</v>
      </c>
      <c r="BO90" s="87">
        <v>92</v>
      </c>
      <c r="BP90" s="87">
        <v>124</v>
      </c>
      <c r="BQ90" s="87">
        <v>355</v>
      </c>
      <c r="BR90" s="96">
        <v>254</v>
      </c>
      <c r="BS90" s="96">
        <v>221</v>
      </c>
      <c r="BT90" s="96">
        <v>197</v>
      </c>
      <c r="BU90" s="96">
        <v>301</v>
      </c>
      <c r="BV90" s="67">
        <v>322</v>
      </c>
      <c r="BW90" s="67">
        <v>326</v>
      </c>
      <c r="BX90" s="67">
        <v>733</v>
      </c>
      <c r="BY90" s="67">
        <v>719</v>
      </c>
      <c r="BZ90" s="68">
        <v>456.99471458773792</v>
      </c>
      <c r="CA90" s="68">
        <v>462.91860465116275</v>
      </c>
      <c r="CB90" s="68">
        <v>468.8424947145877</v>
      </c>
      <c r="CC90" s="68">
        <v>474.76638477801265</v>
      </c>
      <c r="CD90" s="68">
        <v>480.6902748414376</v>
      </c>
      <c r="CE90" s="68">
        <v>486.61416490486255</v>
      </c>
      <c r="CF90" s="68">
        <v>492.5380549682875</v>
      </c>
      <c r="CG90" s="68">
        <v>498.46194503171245</v>
      </c>
      <c r="CH90" s="87">
        <v>132900</v>
      </c>
      <c r="CI90" s="467">
        <v>133409</v>
      </c>
      <c r="CJ90" s="467">
        <v>134432.63499999998</v>
      </c>
      <c r="CK90" s="467">
        <v>135200.15599999999</v>
      </c>
      <c r="CL90" s="468">
        <v>135947.36499999993</v>
      </c>
      <c r="CM90" s="19" t="s">
        <v>321</v>
      </c>
      <c r="CN90" s="70">
        <v>310</v>
      </c>
      <c r="CO90" s="70">
        <v>295</v>
      </c>
      <c r="CP90" s="70">
        <v>254</v>
      </c>
      <c r="CQ90" s="70">
        <v>309</v>
      </c>
      <c r="CR90" s="70">
        <v>233</v>
      </c>
      <c r="CS90" s="70">
        <v>239</v>
      </c>
      <c r="CT90" s="70">
        <v>299</v>
      </c>
      <c r="CU90" s="70">
        <v>306</v>
      </c>
      <c r="CV90" s="70">
        <v>335</v>
      </c>
      <c r="CW90" s="70">
        <v>278</v>
      </c>
      <c r="CX90" s="70">
        <v>282</v>
      </c>
      <c r="CY90" s="70">
        <v>291</v>
      </c>
      <c r="CZ90" s="70">
        <v>287</v>
      </c>
      <c r="DA90" s="70">
        <v>290</v>
      </c>
      <c r="DB90" s="70">
        <v>248</v>
      </c>
      <c r="DC90" s="70">
        <v>260</v>
      </c>
      <c r="DD90" s="70">
        <v>273</v>
      </c>
      <c r="DE90" s="70">
        <v>306</v>
      </c>
      <c r="DF90" s="70">
        <v>310</v>
      </c>
      <c r="DG90" s="70">
        <v>301</v>
      </c>
      <c r="DH90" s="70">
        <v>384</v>
      </c>
      <c r="DI90" s="70">
        <v>360</v>
      </c>
      <c r="DJ90" s="70">
        <v>292</v>
      </c>
      <c r="DK90" s="70">
        <v>355</v>
      </c>
      <c r="DL90" s="46">
        <v>332</v>
      </c>
      <c r="DM90" s="46">
        <v>264</v>
      </c>
      <c r="DN90" s="46">
        <v>241</v>
      </c>
      <c r="DO90" s="46">
        <v>269</v>
      </c>
      <c r="DP90" s="46">
        <v>226</v>
      </c>
      <c r="DQ90" s="46">
        <v>311</v>
      </c>
      <c r="DR90" s="46">
        <v>271</v>
      </c>
      <c r="DS90" s="46">
        <v>267</v>
      </c>
      <c r="DT90" s="46">
        <v>328</v>
      </c>
      <c r="DU90" s="46">
        <v>339</v>
      </c>
      <c r="DV90" s="46">
        <v>336</v>
      </c>
      <c r="DW90" s="46">
        <v>334</v>
      </c>
      <c r="DX90" s="46">
        <v>311</v>
      </c>
      <c r="DY90" s="46">
        <v>322</v>
      </c>
      <c r="DZ90" s="46">
        <v>337</v>
      </c>
      <c r="EA90" s="46">
        <v>345</v>
      </c>
      <c r="EB90" s="46">
        <v>271</v>
      </c>
      <c r="EC90" s="46">
        <v>291</v>
      </c>
      <c r="ED90" s="46">
        <v>345</v>
      </c>
      <c r="EE90" s="46">
        <v>446</v>
      </c>
      <c r="EF90" s="46">
        <v>496</v>
      </c>
      <c r="EG90" s="46">
        <v>463</v>
      </c>
      <c r="EH90" s="46">
        <v>403</v>
      </c>
      <c r="EI90" s="46">
        <v>455</v>
      </c>
      <c r="EJ90" s="46">
        <v>444</v>
      </c>
      <c r="EK90" s="46">
        <v>420</v>
      </c>
      <c r="EL90" s="46">
        <v>358</v>
      </c>
      <c r="EM90" s="46">
        <v>416</v>
      </c>
      <c r="EN90" s="46">
        <v>381</v>
      </c>
      <c r="EO90" s="46">
        <v>420</v>
      </c>
      <c r="EP90" s="46">
        <v>402</v>
      </c>
      <c r="EQ90" s="46">
        <v>417</v>
      </c>
      <c r="ER90" s="46">
        <v>479</v>
      </c>
      <c r="ES90" s="46">
        <v>431</v>
      </c>
      <c r="ET90" s="46">
        <v>1321</v>
      </c>
      <c r="EU90" s="46">
        <v>1222</v>
      </c>
      <c r="EV90" s="46">
        <v>1217</v>
      </c>
      <c r="EW90" s="46">
        <v>1298</v>
      </c>
      <c r="EX90" s="71">
        <v>1280.318127287828</v>
      </c>
      <c r="EY90" s="71">
        <v>1306.5055830693036</v>
      </c>
      <c r="EZ90" s="71">
        <v>1332.6930388507799</v>
      </c>
      <c r="FA90" s="71">
        <v>1358.8804946322557</v>
      </c>
      <c r="FB90" s="71">
        <v>1385.0679504137315</v>
      </c>
      <c r="FC90" s="71">
        <v>1411.2554061952076</v>
      </c>
      <c r="FD90" s="71">
        <v>1437.4428619766832</v>
      </c>
      <c r="FE90" s="71">
        <v>1463.6303177581594</v>
      </c>
      <c r="FF90" s="72">
        <v>167516</v>
      </c>
      <c r="FG90" s="72">
        <v>168372</v>
      </c>
      <c r="FH90" s="476">
        <v>168760</v>
      </c>
      <c r="FI90" s="476">
        <v>169816.45</v>
      </c>
      <c r="FJ90" s="476">
        <v>170606.93400000001</v>
      </c>
      <c r="FK90" s="476">
        <v>171448.285</v>
      </c>
    </row>
    <row r="91" spans="1:167">
      <c r="A91" s="73" t="s">
        <v>926</v>
      </c>
      <c r="B91" s="19" t="s">
        <v>927</v>
      </c>
      <c r="C91" s="74" t="s">
        <v>736</v>
      </c>
      <c r="D91" s="75" t="s">
        <v>324</v>
      </c>
      <c r="E91" s="76">
        <v>325</v>
      </c>
      <c r="F91" s="77">
        <v>325</v>
      </c>
      <c r="G91" s="410">
        <v>320</v>
      </c>
      <c r="H91" s="78">
        <v>43045</v>
      </c>
      <c r="I91" s="77">
        <v>44795</v>
      </c>
      <c r="J91" s="410">
        <v>46236</v>
      </c>
      <c r="K91" s="410">
        <v>47760.094000000005</v>
      </c>
      <c r="L91" s="418">
        <v>48969.013000000006</v>
      </c>
      <c r="M91" s="79">
        <v>757.3</v>
      </c>
      <c r="N91" s="80">
        <v>723.3</v>
      </c>
      <c r="O91" s="421">
        <v>718.8</v>
      </c>
      <c r="P91" s="71">
        <v>305</v>
      </c>
      <c r="Q91" s="75" t="s">
        <v>324</v>
      </c>
      <c r="R91" s="81">
        <v>80</v>
      </c>
      <c r="S91" s="77">
        <v>70</v>
      </c>
      <c r="T91" s="452">
        <v>70</v>
      </c>
      <c r="U91" s="77">
        <v>95</v>
      </c>
      <c r="V91" s="77">
        <v>85</v>
      </c>
      <c r="W91" s="452">
        <v>80</v>
      </c>
      <c r="X91" s="82">
        <v>83.2</v>
      </c>
      <c r="Y91" s="83">
        <v>84.5</v>
      </c>
      <c r="Z91" s="443">
        <v>84.1</v>
      </c>
      <c r="AA91" s="63">
        <v>0</v>
      </c>
      <c r="AB91" s="63">
        <v>0</v>
      </c>
      <c r="AC91" s="19" t="s">
        <v>324</v>
      </c>
      <c r="AD91" s="84">
        <v>342</v>
      </c>
      <c r="AE91" s="85">
        <v>301</v>
      </c>
      <c r="AF91" s="85">
        <v>115</v>
      </c>
      <c r="AG91" s="85">
        <v>194</v>
      </c>
      <c r="AH91" s="85">
        <v>151</v>
      </c>
      <c r="AI91" s="85">
        <v>164</v>
      </c>
      <c r="AJ91" s="85">
        <v>217</v>
      </c>
      <c r="AK91" s="85">
        <v>205</v>
      </c>
      <c r="AL91" s="96">
        <v>261</v>
      </c>
      <c r="AM91" s="96">
        <v>205</v>
      </c>
      <c r="AN91" s="96">
        <v>269</v>
      </c>
      <c r="AO91" s="96">
        <v>170</v>
      </c>
      <c r="AP91" s="96">
        <v>188</v>
      </c>
      <c r="AQ91" s="96">
        <v>164</v>
      </c>
      <c r="AR91" s="96">
        <v>307</v>
      </c>
      <c r="AS91" s="96">
        <v>198</v>
      </c>
      <c r="AT91" s="96">
        <v>285</v>
      </c>
      <c r="AU91" s="96">
        <v>326</v>
      </c>
      <c r="AV91" s="96">
        <v>268</v>
      </c>
      <c r="AW91" s="96">
        <v>373</v>
      </c>
      <c r="AX91" s="97">
        <v>487</v>
      </c>
      <c r="AY91" s="97">
        <v>297</v>
      </c>
      <c r="AZ91" s="97">
        <v>338</v>
      </c>
      <c r="BA91" s="97">
        <v>335</v>
      </c>
      <c r="BB91" s="97">
        <v>380</v>
      </c>
      <c r="BC91" s="97">
        <v>331</v>
      </c>
      <c r="BD91" s="87">
        <v>394</v>
      </c>
      <c r="BE91" s="87">
        <v>432</v>
      </c>
      <c r="BF91" s="87">
        <v>314</v>
      </c>
      <c r="BG91" s="87">
        <v>521</v>
      </c>
      <c r="BH91" s="87">
        <v>580</v>
      </c>
      <c r="BI91" s="87">
        <v>651</v>
      </c>
      <c r="BJ91" s="87">
        <v>650</v>
      </c>
      <c r="BK91" s="87">
        <v>553</v>
      </c>
      <c r="BL91" s="87">
        <v>457</v>
      </c>
      <c r="BM91" s="87">
        <v>254</v>
      </c>
      <c r="BN91" s="87">
        <v>351</v>
      </c>
      <c r="BO91" s="87">
        <v>585</v>
      </c>
      <c r="BP91" s="87">
        <v>644</v>
      </c>
      <c r="BQ91" s="87">
        <v>844</v>
      </c>
      <c r="BR91" s="96">
        <v>559</v>
      </c>
      <c r="BS91" s="96">
        <v>383</v>
      </c>
      <c r="BT91" s="96">
        <v>405</v>
      </c>
      <c r="BU91" s="96">
        <v>564</v>
      </c>
      <c r="BV91" s="67">
        <v>1660</v>
      </c>
      <c r="BW91" s="67">
        <v>1190</v>
      </c>
      <c r="BX91" s="67">
        <v>2047</v>
      </c>
      <c r="BY91" s="67">
        <v>1352</v>
      </c>
      <c r="BZ91" s="68">
        <v>1782.835940803383</v>
      </c>
      <c r="CA91" s="68">
        <v>1871.0625792811841</v>
      </c>
      <c r="CB91" s="68">
        <v>1959.2892177589852</v>
      </c>
      <c r="CC91" s="68">
        <v>2047.5158562367862</v>
      </c>
      <c r="CD91" s="68">
        <v>2135.7424947145882</v>
      </c>
      <c r="CE91" s="68">
        <v>2223.9691331923891</v>
      </c>
      <c r="CF91" s="68">
        <v>2312.19577167019</v>
      </c>
      <c r="CG91" s="68">
        <v>2400.4224101479922</v>
      </c>
      <c r="CH91" s="87">
        <v>162600</v>
      </c>
      <c r="CI91" s="467">
        <v>163910</v>
      </c>
      <c r="CJ91" s="467">
        <v>165823.91500000001</v>
      </c>
      <c r="CK91" s="467">
        <v>167539.22800000003</v>
      </c>
      <c r="CL91" s="468">
        <v>169110.53799999997</v>
      </c>
      <c r="CM91" s="19" t="s">
        <v>324</v>
      </c>
      <c r="CN91" s="70">
        <v>257</v>
      </c>
      <c r="CO91" s="70">
        <v>245</v>
      </c>
      <c r="CP91" s="70">
        <v>199</v>
      </c>
      <c r="CQ91" s="70">
        <v>221</v>
      </c>
      <c r="CR91" s="70">
        <v>195</v>
      </c>
      <c r="CS91" s="70">
        <v>243</v>
      </c>
      <c r="CT91" s="70">
        <v>237</v>
      </c>
      <c r="CU91" s="70">
        <v>259</v>
      </c>
      <c r="CV91" s="70">
        <v>297</v>
      </c>
      <c r="CW91" s="70">
        <v>229</v>
      </c>
      <c r="CX91" s="70">
        <v>259</v>
      </c>
      <c r="CY91" s="70">
        <v>251</v>
      </c>
      <c r="CZ91" s="70">
        <v>264</v>
      </c>
      <c r="DA91" s="70">
        <v>212</v>
      </c>
      <c r="DB91" s="70">
        <v>197</v>
      </c>
      <c r="DC91" s="70">
        <v>216</v>
      </c>
      <c r="DD91" s="70">
        <v>218</v>
      </c>
      <c r="DE91" s="70">
        <v>235</v>
      </c>
      <c r="DF91" s="70">
        <v>280</v>
      </c>
      <c r="DG91" s="70">
        <v>221</v>
      </c>
      <c r="DH91" s="70">
        <v>298</v>
      </c>
      <c r="DI91" s="70">
        <v>256</v>
      </c>
      <c r="DJ91" s="70">
        <v>204</v>
      </c>
      <c r="DK91" s="70">
        <v>177</v>
      </c>
      <c r="DL91" s="46">
        <v>188</v>
      </c>
      <c r="DM91" s="46">
        <v>170</v>
      </c>
      <c r="DN91" s="46">
        <v>178</v>
      </c>
      <c r="DO91" s="46">
        <v>160</v>
      </c>
      <c r="DP91" s="46">
        <v>180</v>
      </c>
      <c r="DQ91" s="46">
        <v>231</v>
      </c>
      <c r="DR91" s="46">
        <v>201</v>
      </c>
      <c r="DS91" s="46">
        <v>212</v>
      </c>
      <c r="DT91" s="46">
        <v>284</v>
      </c>
      <c r="DU91" s="46">
        <v>242</v>
      </c>
      <c r="DV91" s="46">
        <v>258</v>
      </c>
      <c r="DW91" s="46">
        <v>263</v>
      </c>
      <c r="DX91" s="46">
        <v>266</v>
      </c>
      <c r="DY91" s="46">
        <v>219</v>
      </c>
      <c r="DZ91" s="46">
        <v>205</v>
      </c>
      <c r="EA91" s="46">
        <v>238</v>
      </c>
      <c r="EB91" s="46">
        <v>211</v>
      </c>
      <c r="EC91" s="46">
        <v>214</v>
      </c>
      <c r="ED91" s="46">
        <v>228</v>
      </c>
      <c r="EE91" s="46">
        <v>252</v>
      </c>
      <c r="EF91" s="46">
        <v>330</v>
      </c>
      <c r="EG91" s="46">
        <v>273</v>
      </c>
      <c r="EH91" s="46">
        <v>239</v>
      </c>
      <c r="EI91" s="46">
        <v>281</v>
      </c>
      <c r="EJ91" s="46">
        <v>295</v>
      </c>
      <c r="EK91" s="46">
        <v>237</v>
      </c>
      <c r="EL91" s="46">
        <v>255</v>
      </c>
      <c r="EM91" s="46">
        <v>237</v>
      </c>
      <c r="EN91" s="46">
        <v>244</v>
      </c>
      <c r="EO91" s="46">
        <v>252</v>
      </c>
      <c r="EP91" s="46">
        <v>255</v>
      </c>
      <c r="EQ91" s="46">
        <v>209</v>
      </c>
      <c r="ER91" s="46">
        <v>277</v>
      </c>
      <c r="ES91" s="46">
        <v>259</v>
      </c>
      <c r="ET91" s="46">
        <v>793</v>
      </c>
      <c r="EU91" s="46">
        <v>787</v>
      </c>
      <c r="EV91" s="46">
        <v>733</v>
      </c>
      <c r="EW91" s="46">
        <v>741</v>
      </c>
      <c r="EX91" s="71">
        <v>749.61093850933594</v>
      </c>
      <c r="EY91" s="71">
        <v>753.33258482266456</v>
      </c>
      <c r="EZ91" s="71">
        <v>757.05423113599318</v>
      </c>
      <c r="FA91" s="71">
        <v>760.7758774493218</v>
      </c>
      <c r="FB91" s="71">
        <v>764.49752376265042</v>
      </c>
      <c r="FC91" s="71">
        <v>768.21917007597892</v>
      </c>
      <c r="FD91" s="71">
        <v>771.94081638930766</v>
      </c>
      <c r="FE91" s="71">
        <v>775.66246270263628</v>
      </c>
      <c r="FF91" s="72">
        <v>203091</v>
      </c>
      <c r="FG91" s="72">
        <v>204385</v>
      </c>
      <c r="FH91" s="476">
        <v>206135</v>
      </c>
      <c r="FI91" s="476">
        <v>208335.70699999999</v>
      </c>
      <c r="FJ91" s="476">
        <v>210427.02900000001</v>
      </c>
      <c r="FK91" s="476">
        <v>212562.486</v>
      </c>
    </row>
    <row r="92" spans="1:167">
      <c r="A92" s="73" t="s">
        <v>939</v>
      </c>
      <c r="B92" s="19" t="s">
        <v>940</v>
      </c>
      <c r="C92" s="74" t="s">
        <v>737</v>
      </c>
      <c r="D92" s="75" t="s">
        <v>327</v>
      </c>
      <c r="E92" s="76">
        <v>305</v>
      </c>
      <c r="F92" s="77">
        <v>280</v>
      </c>
      <c r="G92" s="410">
        <v>280</v>
      </c>
      <c r="H92" s="78">
        <v>35585</v>
      </c>
      <c r="I92" s="77">
        <v>36905</v>
      </c>
      <c r="J92" s="410">
        <v>37836</v>
      </c>
      <c r="K92" s="410">
        <v>38633.938000000009</v>
      </c>
      <c r="L92" s="418">
        <v>39423.298999999992</v>
      </c>
      <c r="M92" s="79">
        <v>854.2</v>
      </c>
      <c r="N92" s="80">
        <v>756</v>
      </c>
      <c r="O92" s="421">
        <v>758.7</v>
      </c>
      <c r="P92" s="71">
        <v>253</v>
      </c>
      <c r="Q92" s="75" t="s">
        <v>327</v>
      </c>
      <c r="R92" s="81">
        <v>155</v>
      </c>
      <c r="S92" s="77">
        <v>285</v>
      </c>
      <c r="T92" s="452">
        <v>260</v>
      </c>
      <c r="U92" s="77">
        <v>175</v>
      </c>
      <c r="V92" s="77">
        <v>315</v>
      </c>
      <c r="W92" s="452">
        <v>285</v>
      </c>
      <c r="X92" s="82">
        <v>87.6</v>
      </c>
      <c r="Y92" s="83">
        <v>89.6</v>
      </c>
      <c r="Z92" s="443">
        <v>91.3</v>
      </c>
      <c r="AA92" s="63">
        <v>296</v>
      </c>
      <c r="AB92" s="63">
        <v>315</v>
      </c>
      <c r="AC92" s="19" t="s">
        <v>327</v>
      </c>
      <c r="AD92" s="84">
        <v>189</v>
      </c>
      <c r="AE92" s="85">
        <v>265</v>
      </c>
      <c r="AF92" s="85">
        <v>288</v>
      </c>
      <c r="AG92" s="85">
        <v>297</v>
      </c>
      <c r="AH92" s="85">
        <v>293</v>
      </c>
      <c r="AI92" s="85">
        <v>209</v>
      </c>
      <c r="AJ92" s="85">
        <v>241</v>
      </c>
      <c r="AK92" s="85">
        <v>260</v>
      </c>
      <c r="AL92" s="96">
        <v>207</v>
      </c>
      <c r="AM92" s="96">
        <v>204</v>
      </c>
      <c r="AN92" s="96">
        <v>166</v>
      </c>
      <c r="AO92" s="96">
        <v>164</v>
      </c>
      <c r="AP92" s="96">
        <v>94</v>
      </c>
      <c r="AQ92" s="96">
        <v>86</v>
      </c>
      <c r="AR92" s="96">
        <v>123</v>
      </c>
      <c r="AS92" s="96">
        <v>148</v>
      </c>
      <c r="AT92" s="96">
        <v>162</v>
      </c>
      <c r="AU92" s="96">
        <v>255</v>
      </c>
      <c r="AV92" s="96">
        <v>186</v>
      </c>
      <c r="AW92" s="96">
        <v>144</v>
      </c>
      <c r="AX92" s="97">
        <v>242</v>
      </c>
      <c r="AY92" s="97">
        <v>294</v>
      </c>
      <c r="AZ92" s="97">
        <v>149</v>
      </c>
      <c r="BA92" s="97">
        <v>271</v>
      </c>
      <c r="BB92" s="97">
        <v>297</v>
      </c>
      <c r="BC92" s="97">
        <v>243</v>
      </c>
      <c r="BD92" s="87">
        <v>196</v>
      </c>
      <c r="BE92" s="87">
        <v>261</v>
      </c>
      <c r="BF92" s="87">
        <v>218</v>
      </c>
      <c r="BG92" s="87">
        <v>314</v>
      </c>
      <c r="BH92" s="87">
        <v>171</v>
      </c>
      <c r="BI92" s="87">
        <v>243</v>
      </c>
      <c r="BJ92" s="87">
        <v>311</v>
      </c>
      <c r="BK92" s="87">
        <v>391</v>
      </c>
      <c r="BL92" s="87">
        <v>328</v>
      </c>
      <c r="BM92" s="87">
        <v>240</v>
      </c>
      <c r="BN92" s="87">
        <v>245</v>
      </c>
      <c r="BO92" s="87">
        <v>410</v>
      </c>
      <c r="BP92" s="87">
        <v>248</v>
      </c>
      <c r="BQ92" s="87">
        <v>247</v>
      </c>
      <c r="BR92" s="96">
        <v>234</v>
      </c>
      <c r="BS92" s="96">
        <v>394</v>
      </c>
      <c r="BT92" s="96">
        <v>327</v>
      </c>
      <c r="BU92" s="96">
        <v>197</v>
      </c>
      <c r="BV92" s="67">
        <v>1030</v>
      </c>
      <c r="BW92" s="67">
        <v>895</v>
      </c>
      <c r="BX92" s="67">
        <v>729</v>
      </c>
      <c r="BY92" s="67">
        <v>918</v>
      </c>
      <c r="BZ92" s="68">
        <v>867.33890063424951</v>
      </c>
      <c r="CA92" s="68">
        <v>887.08816067653277</v>
      </c>
      <c r="CB92" s="68">
        <v>906.83742071881602</v>
      </c>
      <c r="CC92" s="68">
        <v>926.58668076109927</v>
      </c>
      <c r="CD92" s="68">
        <v>946.33594080338253</v>
      </c>
      <c r="CE92" s="68">
        <v>966.08520084566578</v>
      </c>
      <c r="CF92" s="68">
        <v>985.83446088794926</v>
      </c>
      <c r="CG92" s="68">
        <v>1005.5837209302326</v>
      </c>
      <c r="CH92" s="87">
        <v>161100</v>
      </c>
      <c r="CI92" s="467">
        <v>161678</v>
      </c>
      <c r="CJ92" s="467">
        <v>163217.70900000006</v>
      </c>
      <c r="CK92" s="467">
        <v>164319.52999999997</v>
      </c>
      <c r="CL92" s="468">
        <v>165422.68100000004</v>
      </c>
      <c r="CM92" s="19" t="s">
        <v>327</v>
      </c>
      <c r="CN92" s="70">
        <v>478</v>
      </c>
      <c r="CO92" s="70">
        <v>468</v>
      </c>
      <c r="CP92" s="70">
        <v>445</v>
      </c>
      <c r="CQ92" s="70">
        <v>461</v>
      </c>
      <c r="CR92" s="70">
        <v>448</v>
      </c>
      <c r="CS92" s="70">
        <v>433</v>
      </c>
      <c r="CT92" s="70">
        <v>558</v>
      </c>
      <c r="CU92" s="70">
        <v>491</v>
      </c>
      <c r="CV92" s="70">
        <v>581</v>
      </c>
      <c r="CW92" s="70">
        <v>522</v>
      </c>
      <c r="CX92" s="70">
        <v>514</v>
      </c>
      <c r="CY92" s="70">
        <v>573</v>
      </c>
      <c r="CZ92" s="70">
        <v>481</v>
      </c>
      <c r="DA92" s="70">
        <v>518</v>
      </c>
      <c r="DB92" s="70">
        <v>488</v>
      </c>
      <c r="DC92" s="70">
        <v>464</v>
      </c>
      <c r="DD92" s="70">
        <v>460</v>
      </c>
      <c r="DE92" s="70">
        <v>501</v>
      </c>
      <c r="DF92" s="70">
        <v>492</v>
      </c>
      <c r="DG92" s="70">
        <v>502</v>
      </c>
      <c r="DH92" s="70">
        <v>710</v>
      </c>
      <c r="DI92" s="70">
        <v>630</v>
      </c>
      <c r="DJ92" s="70">
        <v>578</v>
      </c>
      <c r="DK92" s="70">
        <v>524</v>
      </c>
      <c r="DL92" s="46">
        <v>492</v>
      </c>
      <c r="DM92" s="46">
        <v>497</v>
      </c>
      <c r="DN92" s="46">
        <v>445</v>
      </c>
      <c r="DO92" s="46">
        <v>439</v>
      </c>
      <c r="DP92" s="46">
        <v>482</v>
      </c>
      <c r="DQ92" s="46">
        <v>453</v>
      </c>
      <c r="DR92" s="46">
        <v>498</v>
      </c>
      <c r="DS92" s="46">
        <v>506</v>
      </c>
      <c r="DT92" s="46">
        <v>564</v>
      </c>
      <c r="DU92" s="46">
        <v>567</v>
      </c>
      <c r="DV92" s="46">
        <v>590</v>
      </c>
      <c r="DW92" s="46">
        <v>604</v>
      </c>
      <c r="DX92" s="46">
        <v>534</v>
      </c>
      <c r="DY92" s="46">
        <v>562</v>
      </c>
      <c r="DZ92" s="46">
        <v>469</v>
      </c>
      <c r="EA92" s="46">
        <v>526</v>
      </c>
      <c r="EB92" s="46">
        <v>496</v>
      </c>
      <c r="EC92" s="46">
        <v>499</v>
      </c>
      <c r="ED92" s="46">
        <v>470</v>
      </c>
      <c r="EE92" s="46">
        <v>547</v>
      </c>
      <c r="EF92" s="46">
        <v>579</v>
      </c>
      <c r="EG92" s="46">
        <v>503</v>
      </c>
      <c r="EH92" s="46">
        <v>433</v>
      </c>
      <c r="EI92" s="46">
        <v>514</v>
      </c>
      <c r="EJ92" s="46">
        <v>492</v>
      </c>
      <c r="EK92" s="46">
        <v>423</v>
      </c>
      <c r="EL92" s="46">
        <v>379</v>
      </c>
      <c r="EM92" s="46">
        <v>393</v>
      </c>
      <c r="EN92" s="46">
        <v>414</v>
      </c>
      <c r="EO92" s="46">
        <v>423</v>
      </c>
      <c r="EP92" s="46">
        <v>442</v>
      </c>
      <c r="EQ92" s="46">
        <v>440</v>
      </c>
      <c r="ER92" s="46">
        <v>597</v>
      </c>
      <c r="ES92" s="46">
        <v>462</v>
      </c>
      <c r="ET92" s="46">
        <v>1450</v>
      </c>
      <c r="EU92" s="46">
        <v>1294</v>
      </c>
      <c r="EV92" s="46">
        <v>1230</v>
      </c>
      <c r="EW92" s="46">
        <v>1479</v>
      </c>
      <c r="EX92" s="71">
        <v>1449.359900335292</v>
      </c>
      <c r="EY92" s="71">
        <v>1444.427604663324</v>
      </c>
      <c r="EZ92" s="71">
        <v>1439.4953089913563</v>
      </c>
      <c r="FA92" s="71">
        <v>1434.5630133193886</v>
      </c>
      <c r="FB92" s="71">
        <v>1429.6307176474209</v>
      </c>
      <c r="FC92" s="71">
        <v>1424.6984219754531</v>
      </c>
      <c r="FD92" s="71">
        <v>1419.7661263034852</v>
      </c>
      <c r="FE92" s="71">
        <v>1414.8338306315175</v>
      </c>
      <c r="FF92" s="72">
        <v>201206</v>
      </c>
      <c r="FG92" s="72">
        <v>201446</v>
      </c>
      <c r="FH92" s="476">
        <v>202152</v>
      </c>
      <c r="FI92" s="476">
        <v>203668.73199999999</v>
      </c>
      <c r="FJ92" s="476">
        <v>204881.728</v>
      </c>
      <c r="FK92" s="476">
        <v>206125.41200000001</v>
      </c>
    </row>
    <row r="93" spans="1:167">
      <c r="A93" s="73" t="s">
        <v>943</v>
      </c>
      <c r="B93" s="19" t="s">
        <v>944</v>
      </c>
      <c r="C93" s="74" t="s">
        <v>738</v>
      </c>
      <c r="D93" s="75" t="s">
        <v>330</v>
      </c>
      <c r="E93" s="76">
        <v>610</v>
      </c>
      <c r="F93" s="77">
        <v>675</v>
      </c>
      <c r="G93" s="410">
        <v>680</v>
      </c>
      <c r="H93" s="78">
        <v>124320</v>
      </c>
      <c r="I93" s="77">
        <v>129800</v>
      </c>
      <c r="J93" s="410">
        <v>133541</v>
      </c>
      <c r="K93" s="410">
        <v>137667.08600000001</v>
      </c>
      <c r="L93" s="418">
        <v>140882.61699999988</v>
      </c>
      <c r="M93" s="79">
        <v>489.9</v>
      </c>
      <c r="N93" s="80">
        <v>518.5</v>
      </c>
      <c r="O93" s="421">
        <v>525.4</v>
      </c>
      <c r="P93" s="71">
        <v>656</v>
      </c>
      <c r="Q93" s="75" t="s">
        <v>330</v>
      </c>
      <c r="R93" s="81">
        <v>475</v>
      </c>
      <c r="S93" s="77">
        <v>395</v>
      </c>
      <c r="T93" s="452">
        <v>485</v>
      </c>
      <c r="U93" s="77">
        <v>510</v>
      </c>
      <c r="V93" s="77">
        <v>460</v>
      </c>
      <c r="W93" s="452">
        <v>565</v>
      </c>
      <c r="X93" s="82">
        <v>92.6</v>
      </c>
      <c r="Y93" s="83">
        <v>85.7</v>
      </c>
      <c r="Z93" s="443">
        <v>85.5</v>
      </c>
      <c r="AA93" s="63">
        <v>408</v>
      </c>
      <c r="AB93" s="63">
        <v>475</v>
      </c>
      <c r="AC93" s="19" t="s">
        <v>330</v>
      </c>
      <c r="AD93" s="84">
        <v>645</v>
      </c>
      <c r="AE93" s="85">
        <v>859</v>
      </c>
      <c r="AF93" s="85">
        <v>732</v>
      </c>
      <c r="AG93" s="85">
        <v>953</v>
      </c>
      <c r="AH93" s="85">
        <v>847</v>
      </c>
      <c r="AI93" s="85">
        <v>1361</v>
      </c>
      <c r="AJ93" s="85">
        <v>995</v>
      </c>
      <c r="AK93" s="85">
        <v>976</v>
      </c>
      <c r="AL93" s="96">
        <v>857</v>
      </c>
      <c r="AM93" s="96">
        <v>804</v>
      </c>
      <c r="AN93" s="96">
        <v>742</v>
      </c>
      <c r="AO93" s="96">
        <v>1059</v>
      </c>
      <c r="AP93" s="96">
        <v>825</v>
      </c>
      <c r="AQ93" s="96">
        <v>967</v>
      </c>
      <c r="AR93" s="96">
        <v>585</v>
      </c>
      <c r="AS93" s="96">
        <v>916</v>
      </c>
      <c r="AT93" s="96">
        <v>1064</v>
      </c>
      <c r="AU93" s="96">
        <v>1154</v>
      </c>
      <c r="AV93" s="96">
        <v>1026</v>
      </c>
      <c r="AW93" s="96">
        <v>971</v>
      </c>
      <c r="AX93" s="97">
        <v>1156</v>
      </c>
      <c r="AY93" s="97">
        <v>1132</v>
      </c>
      <c r="AZ93" s="97">
        <v>807</v>
      </c>
      <c r="BA93" s="97">
        <v>1097</v>
      </c>
      <c r="BB93" s="97">
        <v>1401</v>
      </c>
      <c r="BC93" s="97">
        <v>1211</v>
      </c>
      <c r="BD93" s="87">
        <v>1162</v>
      </c>
      <c r="BE93" s="87">
        <v>1132</v>
      </c>
      <c r="BF93" s="87">
        <v>1069</v>
      </c>
      <c r="BG93" s="87">
        <v>1252</v>
      </c>
      <c r="BH93" s="87">
        <v>1292</v>
      </c>
      <c r="BI93" s="87">
        <v>1228</v>
      </c>
      <c r="BJ93" s="87">
        <v>811</v>
      </c>
      <c r="BK93" s="87">
        <v>868</v>
      </c>
      <c r="BL93" s="87">
        <v>1047</v>
      </c>
      <c r="BM93" s="87">
        <v>897</v>
      </c>
      <c r="BN93" s="87">
        <v>751</v>
      </c>
      <c r="BO93" s="87">
        <v>1058</v>
      </c>
      <c r="BP93" s="87">
        <v>1163</v>
      </c>
      <c r="BQ93" s="87">
        <v>954</v>
      </c>
      <c r="BR93" s="96">
        <v>1048</v>
      </c>
      <c r="BS93" s="96">
        <v>1182</v>
      </c>
      <c r="BT93" s="96">
        <v>1000</v>
      </c>
      <c r="BU93" s="96">
        <v>1225</v>
      </c>
      <c r="BV93" s="67">
        <v>2726</v>
      </c>
      <c r="BW93" s="67">
        <v>2706</v>
      </c>
      <c r="BX93" s="67">
        <v>3165</v>
      </c>
      <c r="BY93" s="67">
        <v>3407</v>
      </c>
      <c r="BZ93" s="68">
        <v>3407.7238900634247</v>
      </c>
      <c r="CA93" s="68">
        <v>3457.3279069767441</v>
      </c>
      <c r="CB93" s="68">
        <v>3506.9319238900639</v>
      </c>
      <c r="CC93" s="68">
        <v>3556.5359408033823</v>
      </c>
      <c r="CD93" s="68">
        <v>3606.1399577167022</v>
      </c>
      <c r="CE93" s="68">
        <v>3655.7439746300215</v>
      </c>
      <c r="CF93" s="68">
        <v>3705.3479915433404</v>
      </c>
      <c r="CG93" s="68">
        <v>3754.9520084566593</v>
      </c>
      <c r="CH93" s="87">
        <v>484100</v>
      </c>
      <c r="CI93" s="467">
        <v>484432</v>
      </c>
      <c r="CJ93" s="467">
        <v>487300.91399999987</v>
      </c>
      <c r="CK93" s="467">
        <v>489218.29500000016</v>
      </c>
      <c r="CL93" s="468">
        <v>491166.68800000026</v>
      </c>
      <c r="CM93" s="19" t="s">
        <v>330</v>
      </c>
      <c r="CN93" s="70">
        <v>904</v>
      </c>
      <c r="CO93" s="70">
        <v>880</v>
      </c>
      <c r="CP93" s="70">
        <v>825</v>
      </c>
      <c r="CQ93" s="70">
        <v>796</v>
      </c>
      <c r="CR93" s="70">
        <v>814</v>
      </c>
      <c r="CS93" s="70">
        <v>899</v>
      </c>
      <c r="CT93" s="70">
        <v>933</v>
      </c>
      <c r="CU93" s="70">
        <v>970</v>
      </c>
      <c r="CV93" s="70">
        <v>1110</v>
      </c>
      <c r="CW93" s="70">
        <v>976</v>
      </c>
      <c r="CX93" s="70">
        <v>948</v>
      </c>
      <c r="CY93" s="70">
        <v>1052</v>
      </c>
      <c r="CZ93" s="70">
        <v>942</v>
      </c>
      <c r="DA93" s="70">
        <v>947</v>
      </c>
      <c r="DB93" s="70">
        <v>916</v>
      </c>
      <c r="DC93" s="70">
        <v>872</v>
      </c>
      <c r="DD93" s="70">
        <v>852</v>
      </c>
      <c r="DE93" s="70">
        <v>905</v>
      </c>
      <c r="DF93" s="70">
        <v>1018</v>
      </c>
      <c r="DG93" s="70">
        <v>983</v>
      </c>
      <c r="DH93" s="70">
        <v>1282</v>
      </c>
      <c r="DI93" s="70">
        <v>1109</v>
      </c>
      <c r="DJ93" s="70">
        <v>944</v>
      </c>
      <c r="DK93" s="70">
        <v>1030</v>
      </c>
      <c r="DL93" s="46">
        <v>959</v>
      </c>
      <c r="DM93" s="46">
        <v>955</v>
      </c>
      <c r="DN93" s="46">
        <v>878</v>
      </c>
      <c r="DO93" s="46">
        <v>832</v>
      </c>
      <c r="DP93" s="46">
        <v>840</v>
      </c>
      <c r="DQ93" s="46">
        <v>894</v>
      </c>
      <c r="DR93" s="46">
        <v>922</v>
      </c>
      <c r="DS93" s="46">
        <v>1030</v>
      </c>
      <c r="DT93" s="46">
        <v>1181</v>
      </c>
      <c r="DU93" s="46">
        <v>1006</v>
      </c>
      <c r="DV93" s="46">
        <v>1082</v>
      </c>
      <c r="DW93" s="46">
        <v>1057</v>
      </c>
      <c r="DX93" s="46">
        <v>968</v>
      </c>
      <c r="DY93" s="46">
        <v>1020</v>
      </c>
      <c r="DZ93" s="46">
        <v>916</v>
      </c>
      <c r="EA93" s="46">
        <v>1034</v>
      </c>
      <c r="EB93" s="46">
        <v>893</v>
      </c>
      <c r="EC93" s="46">
        <v>904</v>
      </c>
      <c r="ED93" s="46">
        <v>1014</v>
      </c>
      <c r="EE93" s="46">
        <v>1078</v>
      </c>
      <c r="EF93" s="46">
        <v>1199</v>
      </c>
      <c r="EG93" s="46">
        <v>1160</v>
      </c>
      <c r="EH93" s="46">
        <v>1026</v>
      </c>
      <c r="EI93" s="46">
        <v>1026</v>
      </c>
      <c r="EJ93" s="46">
        <v>1103</v>
      </c>
      <c r="EK93" s="46">
        <v>1053</v>
      </c>
      <c r="EL93" s="46">
        <v>880</v>
      </c>
      <c r="EM93" s="46">
        <v>998</v>
      </c>
      <c r="EN93" s="46">
        <v>879</v>
      </c>
      <c r="EO93" s="46">
        <v>966</v>
      </c>
      <c r="EP93" s="46">
        <v>1026</v>
      </c>
      <c r="EQ93" s="46">
        <v>1042</v>
      </c>
      <c r="ER93" s="46">
        <v>1240</v>
      </c>
      <c r="ES93" s="46">
        <v>996</v>
      </c>
      <c r="ET93" s="46">
        <v>3212</v>
      </c>
      <c r="EU93" s="46">
        <v>3036</v>
      </c>
      <c r="EV93" s="46">
        <v>2843</v>
      </c>
      <c r="EW93" s="46">
        <v>3308</v>
      </c>
      <c r="EX93" s="71">
        <v>3188.1948383524559</v>
      </c>
      <c r="EY93" s="71">
        <v>3210.5130886831339</v>
      </c>
      <c r="EZ93" s="71">
        <v>3232.8313390138119</v>
      </c>
      <c r="FA93" s="71">
        <v>3255.1495893444894</v>
      </c>
      <c r="FB93" s="71">
        <v>3277.4678396751665</v>
      </c>
      <c r="FC93" s="71">
        <v>3299.786090005844</v>
      </c>
      <c r="FD93" s="71">
        <v>3322.104340336522</v>
      </c>
      <c r="FE93" s="71">
        <v>3344.4225906672</v>
      </c>
      <c r="FF93" s="72">
        <v>601206</v>
      </c>
      <c r="FG93" s="72">
        <v>602628</v>
      </c>
      <c r="FH93" s="476">
        <v>602749</v>
      </c>
      <c r="FI93" s="476">
        <v>605153.83600000001</v>
      </c>
      <c r="FJ93" s="476">
        <v>606636.17200000002</v>
      </c>
      <c r="FK93" s="476">
        <v>608311.59100000001</v>
      </c>
    </row>
    <row r="94" spans="1:167">
      <c r="A94" s="73" t="s">
        <v>905</v>
      </c>
      <c r="B94" s="19" t="s">
        <v>906</v>
      </c>
      <c r="C94" s="74" t="s">
        <v>739</v>
      </c>
      <c r="D94" s="75" t="s">
        <v>333</v>
      </c>
      <c r="E94" s="76">
        <v>860</v>
      </c>
      <c r="F94" s="77">
        <v>845</v>
      </c>
      <c r="G94" s="410">
        <v>880</v>
      </c>
      <c r="H94" s="78">
        <v>107290</v>
      </c>
      <c r="I94" s="77">
        <v>112910</v>
      </c>
      <c r="J94" s="410">
        <v>117433</v>
      </c>
      <c r="K94" s="410">
        <v>121580.77499999997</v>
      </c>
      <c r="L94" s="418">
        <v>125359.13100000005</v>
      </c>
      <c r="M94" s="79">
        <v>802.5</v>
      </c>
      <c r="N94" s="80">
        <v>748.4</v>
      </c>
      <c r="O94" s="421">
        <v>780.3</v>
      </c>
      <c r="P94" s="71">
        <v>841</v>
      </c>
      <c r="Q94" s="75" t="s">
        <v>333</v>
      </c>
      <c r="R94" s="81">
        <v>400</v>
      </c>
      <c r="S94" s="77">
        <v>385</v>
      </c>
      <c r="T94" s="452">
        <v>290</v>
      </c>
      <c r="U94" s="77">
        <v>580</v>
      </c>
      <c r="V94" s="77">
        <v>550</v>
      </c>
      <c r="W94" s="452">
        <v>495</v>
      </c>
      <c r="X94" s="82">
        <v>68.900000000000006</v>
      </c>
      <c r="Y94" s="83">
        <v>69.599999999999994</v>
      </c>
      <c r="Z94" s="443">
        <v>58.9</v>
      </c>
      <c r="AA94" s="63">
        <v>410</v>
      </c>
      <c r="AB94" s="63">
        <v>550</v>
      </c>
      <c r="AC94" s="19" t="s">
        <v>333</v>
      </c>
      <c r="AD94" s="84">
        <v>2328</v>
      </c>
      <c r="AE94" s="85">
        <v>2224</v>
      </c>
      <c r="AF94" s="85">
        <v>1869</v>
      </c>
      <c r="AG94" s="85">
        <v>1959</v>
      </c>
      <c r="AH94" s="85">
        <v>1590</v>
      </c>
      <c r="AI94" s="85">
        <v>1405</v>
      </c>
      <c r="AJ94" s="85">
        <v>1479</v>
      </c>
      <c r="AK94" s="85">
        <v>1584</v>
      </c>
      <c r="AL94" s="96">
        <v>1404</v>
      </c>
      <c r="AM94" s="96">
        <v>1511</v>
      </c>
      <c r="AN94" s="96">
        <v>1408</v>
      </c>
      <c r="AO94" s="96">
        <v>1343</v>
      </c>
      <c r="AP94" s="96">
        <v>2024</v>
      </c>
      <c r="AQ94" s="96">
        <v>1708</v>
      </c>
      <c r="AR94" s="96">
        <v>1574</v>
      </c>
      <c r="AS94" s="96">
        <v>1788</v>
      </c>
      <c r="AT94" s="96">
        <v>2103</v>
      </c>
      <c r="AU94" s="96">
        <v>1937</v>
      </c>
      <c r="AV94" s="96">
        <v>2175</v>
      </c>
      <c r="AW94" s="96">
        <v>2198</v>
      </c>
      <c r="AX94" s="97">
        <v>1776</v>
      </c>
      <c r="AY94" s="97">
        <v>2151</v>
      </c>
      <c r="AZ94" s="97">
        <v>2009</v>
      </c>
      <c r="BA94" s="97">
        <v>2094</v>
      </c>
      <c r="BB94" s="97">
        <v>1951</v>
      </c>
      <c r="BC94" s="97">
        <v>2045</v>
      </c>
      <c r="BD94" s="87">
        <v>2797</v>
      </c>
      <c r="BE94" s="87">
        <v>2834</v>
      </c>
      <c r="BF94" s="87">
        <v>3002</v>
      </c>
      <c r="BG94" s="87">
        <v>3192</v>
      </c>
      <c r="BH94" s="87">
        <v>2581</v>
      </c>
      <c r="BI94" s="87">
        <v>2500</v>
      </c>
      <c r="BJ94" s="87">
        <v>2524</v>
      </c>
      <c r="BK94" s="87">
        <v>2470</v>
      </c>
      <c r="BL94" s="87">
        <v>2180</v>
      </c>
      <c r="BM94" s="87">
        <v>2529</v>
      </c>
      <c r="BN94" s="87">
        <v>2554</v>
      </c>
      <c r="BO94" s="87">
        <v>2048</v>
      </c>
      <c r="BP94" s="87">
        <v>2256</v>
      </c>
      <c r="BQ94" s="87">
        <v>2707</v>
      </c>
      <c r="BR94" s="96">
        <v>3859</v>
      </c>
      <c r="BS94" s="96">
        <v>3743</v>
      </c>
      <c r="BT94" s="96">
        <v>4030</v>
      </c>
      <c r="BU94" s="96">
        <v>5105</v>
      </c>
      <c r="BV94" s="67">
        <v>7174</v>
      </c>
      <c r="BW94" s="67">
        <v>7131</v>
      </c>
      <c r="BX94" s="67">
        <v>8822</v>
      </c>
      <c r="BY94" s="67">
        <v>12878</v>
      </c>
      <c r="BZ94" s="68">
        <v>9958.2509513742079</v>
      </c>
      <c r="CA94" s="68">
        <v>10354.341014799153</v>
      </c>
      <c r="CB94" s="68">
        <v>10750.431078224101</v>
      </c>
      <c r="CC94" s="68">
        <v>11146.521141649049</v>
      </c>
      <c r="CD94" s="68">
        <v>11542.611205073996</v>
      </c>
      <c r="CE94" s="68">
        <v>11938.701268498942</v>
      </c>
      <c r="CF94" s="68">
        <v>12334.791331923889</v>
      </c>
      <c r="CG94" s="68">
        <v>12730.881395348835</v>
      </c>
      <c r="CH94" s="87">
        <v>542800</v>
      </c>
      <c r="CI94" s="467">
        <v>547423</v>
      </c>
      <c r="CJ94" s="467">
        <v>551850.59900000039</v>
      </c>
      <c r="CK94" s="467">
        <v>556679.31700000016</v>
      </c>
      <c r="CL94" s="468">
        <v>561473.4840000004</v>
      </c>
      <c r="CM94" s="19" t="s">
        <v>333</v>
      </c>
      <c r="CN94" s="70">
        <v>1098</v>
      </c>
      <c r="CO94" s="70">
        <v>1036</v>
      </c>
      <c r="CP94" s="70">
        <v>1026</v>
      </c>
      <c r="CQ94" s="70">
        <v>919</v>
      </c>
      <c r="CR94" s="70">
        <v>874</v>
      </c>
      <c r="CS94" s="70">
        <v>912</v>
      </c>
      <c r="CT94" s="70">
        <v>1142</v>
      </c>
      <c r="CU94" s="70">
        <v>1045</v>
      </c>
      <c r="CV94" s="70">
        <v>1344</v>
      </c>
      <c r="CW94" s="70">
        <v>1139</v>
      </c>
      <c r="CX94" s="70">
        <v>1137</v>
      </c>
      <c r="CY94" s="70">
        <v>1207</v>
      </c>
      <c r="CZ94" s="70">
        <v>1092</v>
      </c>
      <c r="DA94" s="70">
        <v>1090</v>
      </c>
      <c r="DB94" s="70">
        <v>1050</v>
      </c>
      <c r="DC94" s="70">
        <v>983</v>
      </c>
      <c r="DD94" s="70">
        <v>993</v>
      </c>
      <c r="DE94" s="70">
        <v>1035</v>
      </c>
      <c r="DF94" s="70">
        <v>1104</v>
      </c>
      <c r="DG94" s="70">
        <v>1089</v>
      </c>
      <c r="DH94" s="70">
        <v>1532</v>
      </c>
      <c r="DI94" s="70">
        <v>1280</v>
      </c>
      <c r="DJ94" s="70">
        <v>1107</v>
      </c>
      <c r="DK94" s="70">
        <v>1109</v>
      </c>
      <c r="DL94" s="46">
        <v>1094</v>
      </c>
      <c r="DM94" s="46">
        <v>1111</v>
      </c>
      <c r="DN94" s="46">
        <v>1046</v>
      </c>
      <c r="DO94" s="46">
        <v>1062</v>
      </c>
      <c r="DP94" s="46">
        <v>1091</v>
      </c>
      <c r="DQ94" s="46">
        <v>1064</v>
      </c>
      <c r="DR94" s="46">
        <v>1139</v>
      </c>
      <c r="DS94" s="46">
        <v>1193</v>
      </c>
      <c r="DT94" s="46">
        <v>1396</v>
      </c>
      <c r="DU94" s="46">
        <v>1225</v>
      </c>
      <c r="DV94" s="46">
        <v>1237</v>
      </c>
      <c r="DW94" s="46">
        <v>1165</v>
      </c>
      <c r="DX94" s="46">
        <v>1137</v>
      </c>
      <c r="DY94" s="46">
        <v>1260</v>
      </c>
      <c r="DZ94" s="46">
        <v>1079</v>
      </c>
      <c r="EA94" s="46">
        <v>1066</v>
      </c>
      <c r="EB94" s="46">
        <v>1007</v>
      </c>
      <c r="EC94" s="46">
        <v>1039</v>
      </c>
      <c r="ED94" s="46">
        <v>1271</v>
      </c>
      <c r="EE94" s="46">
        <v>1353</v>
      </c>
      <c r="EF94" s="46">
        <v>1462</v>
      </c>
      <c r="EG94" s="46">
        <v>1184</v>
      </c>
      <c r="EH94" s="46">
        <v>1149</v>
      </c>
      <c r="EI94" s="46">
        <v>1312</v>
      </c>
      <c r="EJ94" s="46">
        <v>1379</v>
      </c>
      <c r="EK94" s="46">
        <v>1208</v>
      </c>
      <c r="EL94" s="46">
        <v>1194</v>
      </c>
      <c r="EM94" s="46">
        <v>1186</v>
      </c>
      <c r="EN94" s="46">
        <v>1095</v>
      </c>
      <c r="EO94" s="46">
        <v>1192</v>
      </c>
      <c r="EP94" s="46">
        <v>1249</v>
      </c>
      <c r="EQ94" s="46">
        <v>1277</v>
      </c>
      <c r="ER94" s="46">
        <v>1582</v>
      </c>
      <c r="ES94" s="46">
        <v>1179</v>
      </c>
      <c r="ET94" s="46">
        <v>3645</v>
      </c>
      <c r="EU94" s="46">
        <v>3781</v>
      </c>
      <c r="EV94" s="46">
        <v>3473</v>
      </c>
      <c r="EW94" s="46">
        <v>4108</v>
      </c>
      <c r="EX94" s="71">
        <v>3873.9513365529547</v>
      </c>
      <c r="EY94" s="71">
        <v>3911.5288074071796</v>
      </c>
      <c r="EZ94" s="71">
        <v>3949.106278261404</v>
      </c>
      <c r="FA94" s="71">
        <v>3986.6837491156293</v>
      </c>
      <c r="FB94" s="71">
        <v>4024.2612199698542</v>
      </c>
      <c r="FC94" s="71">
        <v>4061.8386908240791</v>
      </c>
      <c r="FD94" s="71">
        <v>4099.416161678304</v>
      </c>
      <c r="FE94" s="71">
        <v>4136.9936325325289</v>
      </c>
      <c r="FF94" s="72">
        <v>693967</v>
      </c>
      <c r="FG94" s="72">
        <v>700576</v>
      </c>
      <c r="FH94" s="476">
        <v>706647</v>
      </c>
      <c r="FI94" s="476">
        <v>712217.36499999987</v>
      </c>
      <c r="FJ94" s="476">
        <v>718282.46200000006</v>
      </c>
      <c r="FK94" s="476">
        <v>724532.91600000008</v>
      </c>
    </row>
    <row r="95" spans="1:167">
      <c r="A95" s="73" t="s">
        <v>939</v>
      </c>
      <c r="B95" s="19" t="s">
        <v>940</v>
      </c>
      <c r="C95" s="74" t="s">
        <v>740</v>
      </c>
      <c r="D95" s="75" t="s">
        <v>336</v>
      </c>
      <c r="E95" s="76">
        <v>450</v>
      </c>
      <c r="F95" s="77">
        <v>440</v>
      </c>
      <c r="G95" s="410">
        <v>345</v>
      </c>
      <c r="H95" s="78">
        <v>63875</v>
      </c>
      <c r="I95" s="77">
        <v>66690</v>
      </c>
      <c r="J95" s="410">
        <v>68997</v>
      </c>
      <c r="K95" s="410">
        <v>71103.488000000012</v>
      </c>
      <c r="L95" s="418">
        <v>73002.305999999997</v>
      </c>
      <c r="M95" s="79">
        <v>707.7</v>
      </c>
      <c r="N95" s="80">
        <v>659.8</v>
      </c>
      <c r="O95" s="421">
        <v>517.29999999999995</v>
      </c>
      <c r="P95" s="71">
        <v>521</v>
      </c>
      <c r="Q95" s="75" t="s">
        <v>336</v>
      </c>
      <c r="R95" s="81">
        <v>425</v>
      </c>
      <c r="S95" s="77">
        <v>475</v>
      </c>
      <c r="T95" s="452">
        <v>415</v>
      </c>
      <c r="U95" s="77">
        <v>460</v>
      </c>
      <c r="V95" s="77">
        <v>525</v>
      </c>
      <c r="W95" s="452">
        <v>450</v>
      </c>
      <c r="X95" s="82">
        <v>92.8</v>
      </c>
      <c r="Y95" s="83">
        <v>90.8</v>
      </c>
      <c r="Z95" s="443">
        <v>92.2</v>
      </c>
      <c r="AA95" s="63">
        <v>490</v>
      </c>
      <c r="AB95" s="63">
        <v>525</v>
      </c>
      <c r="AC95" s="19" t="s">
        <v>336</v>
      </c>
      <c r="AD95" s="84">
        <v>171</v>
      </c>
      <c r="AE95" s="85">
        <v>301</v>
      </c>
      <c r="AF95" s="85">
        <v>314</v>
      </c>
      <c r="AG95" s="85">
        <v>433</v>
      </c>
      <c r="AH95" s="85">
        <v>338</v>
      </c>
      <c r="AI95" s="85">
        <v>545</v>
      </c>
      <c r="AJ95" s="85">
        <v>823</v>
      </c>
      <c r="AK95" s="85">
        <v>689</v>
      </c>
      <c r="AL95" s="96">
        <v>494</v>
      </c>
      <c r="AM95" s="96">
        <v>473</v>
      </c>
      <c r="AN95" s="96">
        <v>286</v>
      </c>
      <c r="AO95" s="96">
        <v>338</v>
      </c>
      <c r="AP95" s="96">
        <v>346</v>
      </c>
      <c r="AQ95" s="96">
        <v>424</v>
      </c>
      <c r="AR95" s="96">
        <v>434</v>
      </c>
      <c r="AS95" s="96">
        <v>416</v>
      </c>
      <c r="AT95" s="96">
        <v>254</v>
      </c>
      <c r="AU95" s="96">
        <v>291</v>
      </c>
      <c r="AV95" s="96">
        <v>335</v>
      </c>
      <c r="AW95" s="96">
        <v>265</v>
      </c>
      <c r="AX95" s="97">
        <v>370</v>
      </c>
      <c r="AY95" s="97">
        <v>389</v>
      </c>
      <c r="AZ95" s="97">
        <v>497</v>
      </c>
      <c r="BA95" s="97">
        <v>526</v>
      </c>
      <c r="BB95" s="97">
        <v>419</v>
      </c>
      <c r="BC95" s="97">
        <v>481</v>
      </c>
      <c r="BD95" s="87">
        <v>497</v>
      </c>
      <c r="BE95" s="87">
        <v>364</v>
      </c>
      <c r="BF95" s="87">
        <v>320</v>
      </c>
      <c r="BG95" s="87">
        <v>337</v>
      </c>
      <c r="BH95" s="87">
        <v>236</v>
      </c>
      <c r="BI95" s="87">
        <v>304</v>
      </c>
      <c r="BJ95" s="87">
        <v>368</v>
      </c>
      <c r="BK95" s="87">
        <v>335</v>
      </c>
      <c r="BL95" s="87">
        <v>382</v>
      </c>
      <c r="BM95" s="87">
        <v>392</v>
      </c>
      <c r="BN95" s="87">
        <v>303</v>
      </c>
      <c r="BO95" s="87">
        <v>283</v>
      </c>
      <c r="BP95" s="87">
        <v>252</v>
      </c>
      <c r="BQ95" s="87">
        <v>329</v>
      </c>
      <c r="BR95" s="96">
        <v>323</v>
      </c>
      <c r="BS95" s="96">
        <v>538</v>
      </c>
      <c r="BT95" s="96">
        <v>471</v>
      </c>
      <c r="BU95" s="96">
        <v>323</v>
      </c>
      <c r="BV95" s="67">
        <v>1085</v>
      </c>
      <c r="BW95" s="67">
        <v>978</v>
      </c>
      <c r="BX95" s="67">
        <v>904</v>
      </c>
      <c r="BY95" s="67">
        <v>1332</v>
      </c>
      <c r="BZ95" s="68">
        <v>1039.0596194503171</v>
      </c>
      <c r="CA95" s="68">
        <v>1023.6581395348835</v>
      </c>
      <c r="CB95" s="68">
        <v>1008.2566596194501</v>
      </c>
      <c r="CC95" s="68">
        <v>992.85517970401679</v>
      </c>
      <c r="CD95" s="68">
        <v>977.45369978858344</v>
      </c>
      <c r="CE95" s="68">
        <v>962.05221987314985</v>
      </c>
      <c r="CF95" s="68">
        <v>946.6507399577165</v>
      </c>
      <c r="CG95" s="68">
        <v>931.24926004228314</v>
      </c>
      <c r="CH95" s="87">
        <v>255100</v>
      </c>
      <c r="CI95" s="467">
        <v>255418</v>
      </c>
      <c r="CJ95" s="467">
        <v>256589.13400000002</v>
      </c>
      <c r="CK95" s="467">
        <v>257392.06200000001</v>
      </c>
      <c r="CL95" s="468">
        <v>258163.3869999999</v>
      </c>
      <c r="CM95" s="19" t="s">
        <v>336</v>
      </c>
      <c r="CN95" s="70">
        <v>602</v>
      </c>
      <c r="CO95" s="70">
        <v>627</v>
      </c>
      <c r="CP95" s="70">
        <v>538</v>
      </c>
      <c r="CQ95" s="70">
        <v>614</v>
      </c>
      <c r="CR95" s="70">
        <v>546</v>
      </c>
      <c r="CS95" s="70">
        <v>669</v>
      </c>
      <c r="CT95" s="70">
        <v>705</v>
      </c>
      <c r="CU95" s="70">
        <v>636</v>
      </c>
      <c r="CV95" s="70">
        <v>693</v>
      </c>
      <c r="CW95" s="70">
        <v>637</v>
      </c>
      <c r="CX95" s="70">
        <v>627</v>
      </c>
      <c r="CY95" s="70">
        <v>729</v>
      </c>
      <c r="CZ95" s="70">
        <v>654</v>
      </c>
      <c r="DA95" s="70">
        <v>688</v>
      </c>
      <c r="DB95" s="70">
        <v>643</v>
      </c>
      <c r="DC95" s="70">
        <v>584</v>
      </c>
      <c r="DD95" s="70">
        <v>660</v>
      </c>
      <c r="DE95" s="70">
        <v>681</v>
      </c>
      <c r="DF95" s="70">
        <v>711</v>
      </c>
      <c r="DG95" s="70">
        <v>727</v>
      </c>
      <c r="DH95" s="70">
        <v>923</v>
      </c>
      <c r="DI95" s="70">
        <v>806</v>
      </c>
      <c r="DJ95" s="70">
        <v>755</v>
      </c>
      <c r="DK95" s="70">
        <v>800</v>
      </c>
      <c r="DL95" s="46">
        <v>749</v>
      </c>
      <c r="DM95" s="46">
        <v>700</v>
      </c>
      <c r="DN95" s="46">
        <v>627</v>
      </c>
      <c r="DO95" s="46">
        <v>610</v>
      </c>
      <c r="DP95" s="46">
        <v>662</v>
      </c>
      <c r="DQ95" s="46">
        <v>677</v>
      </c>
      <c r="DR95" s="46">
        <v>670</v>
      </c>
      <c r="DS95" s="46">
        <v>635</v>
      </c>
      <c r="DT95" s="46">
        <v>819</v>
      </c>
      <c r="DU95" s="46">
        <v>777</v>
      </c>
      <c r="DV95" s="46">
        <v>731</v>
      </c>
      <c r="DW95" s="46">
        <v>732</v>
      </c>
      <c r="DX95" s="46">
        <v>747</v>
      </c>
      <c r="DY95" s="46">
        <v>742</v>
      </c>
      <c r="DZ95" s="46">
        <v>736</v>
      </c>
      <c r="EA95" s="46">
        <v>697</v>
      </c>
      <c r="EB95" s="46">
        <v>699</v>
      </c>
      <c r="EC95" s="46">
        <v>653</v>
      </c>
      <c r="ED95" s="46">
        <v>676</v>
      </c>
      <c r="EE95" s="46">
        <v>643</v>
      </c>
      <c r="EF95" s="46">
        <v>874</v>
      </c>
      <c r="EG95" s="46">
        <v>620</v>
      </c>
      <c r="EH95" s="46">
        <v>566</v>
      </c>
      <c r="EI95" s="46">
        <v>627</v>
      </c>
      <c r="EJ95" s="46">
        <v>640</v>
      </c>
      <c r="EK95" s="46">
        <v>582</v>
      </c>
      <c r="EL95" s="46">
        <v>506</v>
      </c>
      <c r="EM95" s="46">
        <v>584</v>
      </c>
      <c r="EN95" s="46">
        <v>549</v>
      </c>
      <c r="EO95" s="46">
        <v>562</v>
      </c>
      <c r="EP95" s="46">
        <v>622</v>
      </c>
      <c r="EQ95" s="46">
        <v>587</v>
      </c>
      <c r="ER95" s="46">
        <v>719</v>
      </c>
      <c r="ES95" s="46">
        <v>631</v>
      </c>
      <c r="ET95" s="46">
        <v>1813</v>
      </c>
      <c r="EU95" s="46">
        <v>1728</v>
      </c>
      <c r="EV95" s="46">
        <v>1695</v>
      </c>
      <c r="EW95" s="46">
        <v>1928</v>
      </c>
      <c r="EX95" s="71">
        <v>1974.0859146697835</v>
      </c>
      <c r="EY95" s="71">
        <v>1970.5511396843951</v>
      </c>
      <c r="EZ95" s="71">
        <v>1967.0163646990063</v>
      </c>
      <c r="FA95" s="71">
        <v>1963.4815897136177</v>
      </c>
      <c r="FB95" s="71">
        <v>1959.9468147282291</v>
      </c>
      <c r="FC95" s="71">
        <v>1956.4120397428403</v>
      </c>
      <c r="FD95" s="71">
        <v>1952.8772647574515</v>
      </c>
      <c r="FE95" s="71">
        <v>1949.3424897720629</v>
      </c>
      <c r="FF95" s="72">
        <v>316278</v>
      </c>
      <c r="FG95" s="72">
        <v>316116</v>
      </c>
      <c r="FH95" s="476">
        <v>315806</v>
      </c>
      <c r="FI95" s="476">
        <v>316762.74300000002</v>
      </c>
      <c r="FJ95" s="476">
        <v>317222.58</v>
      </c>
      <c r="FK95" s="476">
        <v>317747.65100000001</v>
      </c>
    </row>
    <row r="96" spans="1:167">
      <c r="A96" s="73" t="s">
        <v>941</v>
      </c>
      <c r="B96" s="19" t="s">
        <v>942</v>
      </c>
      <c r="C96" s="74" t="s">
        <v>741</v>
      </c>
      <c r="D96" s="75" t="s">
        <v>339</v>
      </c>
      <c r="E96" s="76">
        <v>335</v>
      </c>
      <c r="F96" s="77">
        <v>500</v>
      </c>
      <c r="G96" s="410">
        <v>265</v>
      </c>
      <c r="H96" s="78">
        <v>35615</v>
      </c>
      <c r="I96" s="77">
        <v>36185</v>
      </c>
      <c r="J96" s="410">
        <v>36696</v>
      </c>
      <c r="K96" s="410">
        <v>36849.93</v>
      </c>
      <c r="L96" s="418">
        <v>37257.887000000002</v>
      </c>
      <c r="M96" s="79">
        <v>935</v>
      </c>
      <c r="N96" s="80">
        <v>1376.3</v>
      </c>
      <c r="O96" s="421">
        <v>729.6</v>
      </c>
      <c r="P96" s="71">
        <v>435</v>
      </c>
      <c r="Q96" s="75" t="s">
        <v>339</v>
      </c>
      <c r="R96" s="81">
        <v>65</v>
      </c>
      <c r="S96" s="77">
        <v>75</v>
      </c>
      <c r="T96" s="452">
        <v>185</v>
      </c>
      <c r="U96" s="77">
        <v>80</v>
      </c>
      <c r="V96" s="77">
        <v>100</v>
      </c>
      <c r="W96" s="452">
        <v>300</v>
      </c>
      <c r="X96" s="82">
        <v>79.7</v>
      </c>
      <c r="Y96" s="83">
        <v>76</v>
      </c>
      <c r="Z96" s="443">
        <v>61.5</v>
      </c>
      <c r="AA96" s="63">
        <v>81</v>
      </c>
      <c r="AB96" s="63">
        <v>100</v>
      </c>
      <c r="AC96" s="19" t="s">
        <v>339</v>
      </c>
      <c r="AD96" s="84">
        <v>789</v>
      </c>
      <c r="AE96" s="85">
        <v>779</v>
      </c>
      <c r="AF96" s="85">
        <v>640</v>
      </c>
      <c r="AG96" s="85">
        <v>825</v>
      </c>
      <c r="AH96" s="85">
        <v>883</v>
      </c>
      <c r="AI96" s="85">
        <v>860</v>
      </c>
      <c r="AJ96" s="85">
        <v>1939</v>
      </c>
      <c r="AK96" s="85">
        <v>1613</v>
      </c>
      <c r="AL96" s="96">
        <v>1305</v>
      </c>
      <c r="AM96" s="96">
        <v>1352</v>
      </c>
      <c r="AN96" s="96">
        <v>1291</v>
      </c>
      <c r="AO96" s="96">
        <v>1428</v>
      </c>
      <c r="AP96" s="96">
        <v>1329</v>
      </c>
      <c r="AQ96" s="96">
        <v>1295</v>
      </c>
      <c r="AR96" s="96">
        <v>1333</v>
      </c>
      <c r="AS96" s="96">
        <v>1498</v>
      </c>
      <c r="AT96" s="96">
        <v>1441</v>
      </c>
      <c r="AU96" s="96">
        <v>1169</v>
      </c>
      <c r="AV96" s="96">
        <v>1003</v>
      </c>
      <c r="AW96" s="96">
        <v>1143</v>
      </c>
      <c r="AX96" s="97">
        <v>932</v>
      </c>
      <c r="AY96" s="97">
        <v>1016</v>
      </c>
      <c r="AZ96" s="97">
        <v>951</v>
      </c>
      <c r="BA96" s="97">
        <v>1003</v>
      </c>
      <c r="BB96" s="97">
        <v>1113</v>
      </c>
      <c r="BC96" s="97">
        <v>988</v>
      </c>
      <c r="BD96" s="87">
        <v>936</v>
      </c>
      <c r="BE96" s="87">
        <v>933</v>
      </c>
      <c r="BF96" s="87">
        <v>1029</v>
      </c>
      <c r="BG96" s="87">
        <v>1156</v>
      </c>
      <c r="BH96" s="87">
        <v>998</v>
      </c>
      <c r="BI96" s="87">
        <v>1155</v>
      </c>
      <c r="BJ96" s="87">
        <v>1037</v>
      </c>
      <c r="BK96" s="87">
        <v>826</v>
      </c>
      <c r="BL96" s="87">
        <v>798</v>
      </c>
      <c r="BM96" s="87">
        <v>869</v>
      </c>
      <c r="BN96" s="87">
        <v>752</v>
      </c>
      <c r="BO96" s="87">
        <v>896</v>
      </c>
      <c r="BP96" s="87">
        <v>809</v>
      </c>
      <c r="BQ96" s="87">
        <v>1244</v>
      </c>
      <c r="BR96" s="96">
        <v>937</v>
      </c>
      <c r="BS96" s="96">
        <v>785</v>
      </c>
      <c r="BT96" s="96">
        <v>516</v>
      </c>
      <c r="BU96" s="96">
        <v>789</v>
      </c>
      <c r="BV96" s="67">
        <v>2661</v>
      </c>
      <c r="BW96" s="67">
        <v>2517</v>
      </c>
      <c r="BX96" s="67">
        <v>2990</v>
      </c>
      <c r="BY96" s="67">
        <v>2090</v>
      </c>
      <c r="BZ96" s="68">
        <v>2582.3750528541227</v>
      </c>
      <c r="CA96" s="68">
        <v>2508.3194503171248</v>
      </c>
      <c r="CB96" s="68">
        <v>2434.2638477801274</v>
      </c>
      <c r="CC96" s="68">
        <v>2360.2082452431291</v>
      </c>
      <c r="CD96" s="68">
        <v>2286.1526427061312</v>
      </c>
      <c r="CE96" s="68">
        <v>2212.0970401691338</v>
      </c>
      <c r="CF96" s="68">
        <v>2138.0414376321355</v>
      </c>
      <c r="CG96" s="68">
        <v>2063.9858350951376</v>
      </c>
      <c r="CH96" s="87">
        <v>245700</v>
      </c>
      <c r="CI96" s="467">
        <v>246983</v>
      </c>
      <c r="CJ96" s="467">
        <v>248300.40100000004</v>
      </c>
      <c r="CK96" s="467">
        <v>249536.78000000003</v>
      </c>
      <c r="CL96" s="468">
        <v>250783.44100000008</v>
      </c>
      <c r="CM96" s="19" t="s">
        <v>339</v>
      </c>
      <c r="CN96" s="70">
        <v>475</v>
      </c>
      <c r="CO96" s="70">
        <v>483</v>
      </c>
      <c r="CP96" s="70">
        <v>481</v>
      </c>
      <c r="CQ96" s="70">
        <v>485</v>
      </c>
      <c r="CR96" s="70">
        <v>490</v>
      </c>
      <c r="CS96" s="70">
        <v>436</v>
      </c>
      <c r="CT96" s="70">
        <v>554</v>
      </c>
      <c r="CU96" s="70">
        <v>552</v>
      </c>
      <c r="CV96" s="70">
        <v>564</v>
      </c>
      <c r="CW96" s="70">
        <v>539</v>
      </c>
      <c r="CX96" s="70">
        <v>510</v>
      </c>
      <c r="CY96" s="70">
        <v>536</v>
      </c>
      <c r="CZ96" s="70">
        <v>511</v>
      </c>
      <c r="DA96" s="70">
        <v>497</v>
      </c>
      <c r="DB96" s="70">
        <v>456</v>
      </c>
      <c r="DC96" s="70">
        <v>455</v>
      </c>
      <c r="DD96" s="70">
        <v>466</v>
      </c>
      <c r="DE96" s="70">
        <v>499</v>
      </c>
      <c r="DF96" s="70">
        <v>527</v>
      </c>
      <c r="DG96" s="70">
        <v>503</v>
      </c>
      <c r="DH96" s="70">
        <v>659</v>
      </c>
      <c r="DI96" s="70">
        <v>580</v>
      </c>
      <c r="DJ96" s="70">
        <v>499</v>
      </c>
      <c r="DK96" s="70">
        <v>548</v>
      </c>
      <c r="DL96" s="46">
        <v>454</v>
      </c>
      <c r="DM96" s="46">
        <v>483</v>
      </c>
      <c r="DN96" s="46">
        <v>464</v>
      </c>
      <c r="DO96" s="46">
        <v>437</v>
      </c>
      <c r="DP96" s="46">
        <v>449</v>
      </c>
      <c r="DQ96" s="46">
        <v>430</v>
      </c>
      <c r="DR96" s="46">
        <v>490</v>
      </c>
      <c r="DS96" s="46">
        <v>489</v>
      </c>
      <c r="DT96" s="46">
        <v>555</v>
      </c>
      <c r="DU96" s="46">
        <v>608</v>
      </c>
      <c r="DV96" s="46">
        <v>508</v>
      </c>
      <c r="DW96" s="46">
        <v>533</v>
      </c>
      <c r="DX96" s="46">
        <v>572</v>
      </c>
      <c r="DY96" s="46">
        <v>516</v>
      </c>
      <c r="DZ96" s="46">
        <v>528</v>
      </c>
      <c r="EA96" s="46">
        <v>537</v>
      </c>
      <c r="EB96" s="46">
        <v>515</v>
      </c>
      <c r="EC96" s="46">
        <v>540</v>
      </c>
      <c r="ED96" s="46">
        <v>611</v>
      </c>
      <c r="EE96" s="46">
        <v>605</v>
      </c>
      <c r="EF96" s="46">
        <v>693</v>
      </c>
      <c r="EG96" s="46">
        <v>531</v>
      </c>
      <c r="EH96" s="46">
        <v>127</v>
      </c>
      <c r="EI96" s="46">
        <v>601</v>
      </c>
      <c r="EJ96" s="46">
        <v>519</v>
      </c>
      <c r="EK96" s="46">
        <v>492</v>
      </c>
      <c r="EL96" s="46">
        <v>459</v>
      </c>
      <c r="EM96" s="46">
        <v>443</v>
      </c>
      <c r="EN96" s="46">
        <v>363</v>
      </c>
      <c r="EO96" s="46">
        <v>441</v>
      </c>
      <c r="EP96" s="46">
        <v>489</v>
      </c>
      <c r="EQ96" s="46">
        <v>497</v>
      </c>
      <c r="ER96" s="46">
        <v>569</v>
      </c>
      <c r="ES96" s="46">
        <v>447</v>
      </c>
      <c r="ET96" s="46">
        <v>1259</v>
      </c>
      <c r="EU96" s="46">
        <v>1470</v>
      </c>
      <c r="EV96" s="46">
        <v>1247</v>
      </c>
      <c r="EW96" s="46">
        <v>1555</v>
      </c>
      <c r="EX96" s="71">
        <v>1492.8975053062229</v>
      </c>
      <c r="EY96" s="71">
        <v>1490.809529668707</v>
      </c>
      <c r="EZ96" s="71">
        <v>1488.7215540311913</v>
      </c>
      <c r="FA96" s="71">
        <v>1486.6335783936756</v>
      </c>
      <c r="FB96" s="71">
        <v>1484.5456027561597</v>
      </c>
      <c r="FC96" s="71">
        <v>1482.457627118644</v>
      </c>
      <c r="FD96" s="71">
        <v>1480.3696514811281</v>
      </c>
      <c r="FE96" s="71">
        <v>1478.2816758436124</v>
      </c>
      <c r="FF96" s="72">
        <v>303899</v>
      </c>
      <c r="FG96" s="72">
        <v>308735</v>
      </c>
      <c r="FH96" s="476">
        <v>310837</v>
      </c>
      <c r="FI96" s="476">
        <v>312186.09700000001</v>
      </c>
      <c r="FJ96" s="476">
        <v>313809.21799999999</v>
      </c>
      <c r="FK96" s="476">
        <v>315559.26</v>
      </c>
    </row>
    <row r="97" spans="1:167">
      <c r="A97" s="73" t="s">
        <v>941</v>
      </c>
      <c r="B97" s="19" t="s">
        <v>942</v>
      </c>
      <c r="C97" s="74" t="s">
        <v>742</v>
      </c>
      <c r="D97" s="75" t="s">
        <v>342</v>
      </c>
      <c r="E97" s="76">
        <v>960</v>
      </c>
      <c r="F97" s="77">
        <v>970</v>
      </c>
      <c r="G97" s="410">
        <v>975</v>
      </c>
      <c r="H97" s="78">
        <v>143730</v>
      </c>
      <c r="I97" s="77">
        <v>149420</v>
      </c>
      <c r="J97" s="410">
        <v>154088</v>
      </c>
      <c r="K97" s="410">
        <v>157948.41900000005</v>
      </c>
      <c r="L97" s="418">
        <v>161709.11400000003</v>
      </c>
      <c r="M97" s="79">
        <v>668.6</v>
      </c>
      <c r="N97" s="80">
        <v>648.5</v>
      </c>
      <c r="O97" s="421">
        <v>651.20000000000005</v>
      </c>
      <c r="P97" s="71">
        <v>950</v>
      </c>
      <c r="Q97" s="75" t="s">
        <v>342</v>
      </c>
      <c r="R97" s="81">
        <v>640</v>
      </c>
      <c r="S97" s="77">
        <v>630</v>
      </c>
      <c r="T97" s="452">
        <v>525</v>
      </c>
      <c r="U97" s="77">
        <v>720</v>
      </c>
      <c r="V97" s="77">
        <v>755</v>
      </c>
      <c r="W97" s="452">
        <v>590</v>
      </c>
      <c r="X97" s="82">
        <v>89.2</v>
      </c>
      <c r="Y97" s="83">
        <v>83.2</v>
      </c>
      <c r="Z97" s="443">
        <v>88.8</v>
      </c>
      <c r="AA97" s="63">
        <v>653</v>
      </c>
      <c r="AB97" s="63">
        <v>755</v>
      </c>
      <c r="AC97" s="19" t="s">
        <v>342</v>
      </c>
      <c r="AD97" s="84">
        <v>1624</v>
      </c>
      <c r="AE97" s="85">
        <v>1274</v>
      </c>
      <c r="AF97" s="85">
        <v>1364</v>
      </c>
      <c r="AG97" s="85">
        <v>1689</v>
      </c>
      <c r="AH97" s="85">
        <v>1938</v>
      </c>
      <c r="AI97" s="85">
        <v>2011</v>
      </c>
      <c r="AJ97" s="85">
        <v>1787</v>
      </c>
      <c r="AK97" s="85">
        <v>2276</v>
      </c>
      <c r="AL97" s="96">
        <v>2244</v>
      </c>
      <c r="AM97" s="96">
        <v>2432</v>
      </c>
      <c r="AN97" s="96">
        <v>3144</v>
      </c>
      <c r="AO97" s="96">
        <v>3316</v>
      </c>
      <c r="AP97" s="96">
        <v>3432</v>
      </c>
      <c r="AQ97" s="96">
        <v>3464</v>
      </c>
      <c r="AR97" s="96">
        <v>3064</v>
      </c>
      <c r="AS97" s="96">
        <v>2973</v>
      </c>
      <c r="AT97" s="96">
        <v>2897</v>
      </c>
      <c r="AU97" s="96">
        <v>3125</v>
      </c>
      <c r="AV97" s="96">
        <v>3115</v>
      </c>
      <c r="AW97" s="96">
        <v>3444</v>
      </c>
      <c r="AX97" s="97">
        <v>3169</v>
      </c>
      <c r="AY97" s="97">
        <v>2807</v>
      </c>
      <c r="AZ97" s="97">
        <v>2895</v>
      </c>
      <c r="BA97" s="97">
        <v>3240</v>
      </c>
      <c r="BB97" s="97">
        <v>3144</v>
      </c>
      <c r="BC97" s="97">
        <v>3029</v>
      </c>
      <c r="BD97" s="87">
        <v>2877</v>
      </c>
      <c r="BE97" s="87">
        <v>2968</v>
      </c>
      <c r="BF97" s="87">
        <v>3186</v>
      </c>
      <c r="BG97" s="87">
        <v>3592</v>
      </c>
      <c r="BH97" s="87">
        <v>2115</v>
      </c>
      <c r="BI97" s="87">
        <v>3200</v>
      </c>
      <c r="BJ97" s="87">
        <v>2890</v>
      </c>
      <c r="BK97" s="87">
        <v>2719</v>
      </c>
      <c r="BL97" s="87">
        <v>2316</v>
      </c>
      <c r="BM97" s="87">
        <v>2546</v>
      </c>
      <c r="BN97" s="87">
        <v>2501</v>
      </c>
      <c r="BO97" s="87">
        <v>2251</v>
      </c>
      <c r="BP97" s="87">
        <v>2255</v>
      </c>
      <c r="BQ97" s="87">
        <v>2406</v>
      </c>
      <c r="BR97" s="96">
        <v>2850</v>
      </c>
      <c r="BS97" s="96">
        <v>2723</v>
      </c>
      <c r="BT97" s="96">
        <v>2346</v>
      </c>
      <c r="BU97" s="96">
        <v>2580</v>
      </c>
      <c r="BV97" s="67">
        <v>7925</v>
      </c>
      <c r="BW97" s="67">
        <v>7298</v>
      </c>
      <c r="BX97" s="67">
        <v>7511</v>
      </c>
      <c r="BY97" s="67">
        <v>7649</v>
      </c>
      <c r="BZ97" s="68">
        <v>8950.9562367864692</v>
      </c>
      <c r="CA97" s="68">
        <v>9073.3587737843554</v>
      </c>
      <c r="CB97" s="68">
        <v>9195.7613107822399</v>
      </c>
      <c r="CC97" s="68">
        <v>9318.1638477801262</v>
      </c>
      <c r="CD97" s="68">
        <v>9440.5663847780124</v>
      </c>
      <c r="CE97" s="68">
        <v>9562.9689217758987</v>
      </c>
      <c r="CF97" s="68">
        <v>9685.3714587737832</v>
      </c>
      <c r="CG97" s="68">
        <v>9807.7739957716694</v>
      </c>
      <c r="CH97" s="87">
        <v>628000</v>
      </c>
      <c r="CI97" s="467">
        <v>633576</v>
      </c>
      <c r="CJ97" s="467">
        <v>635757.3199999996</v>
      </c>
      <c r="CK97" s="467">
        <v>640001.53400000033</v>
      </c>
      <c r="CL97" s="468">
        <v>643866.88699999999</v>
      </c>
      <c r="CM97" s="19" t="s">
        <v>342</v>
      </c>
      <c r="CN97" s="70">
        <v>1254</v>
      </c>
      <c r="CO97" s="70">
        <v>1218</v>
      </c>
      <c r="CP97" s="70">
        <v>1239</v>
      </c>
      <c r="CQ97" s="70">
        <v>1110</v>
      </c>
      <c r="CR97" s="70">
        <v>1161</v>
      </c>
      <c r="CS97" s="70">
        <v>1237</v>
      </c>
      <c r="CT97" s="70">
        <v>1392</v>
      </c>
      <c r="CU97" s="70">
        <v>1374</v>
      </c>
      <c r="CV97" s="70">
        <v>1526</v>
      </c>
      <c r="CW97" s="70">
        <v>1383</v>
      </c>
      <c r="CX97" s="70">
        <v>1275</v>
      </c>
      <c r="CY97" s="70">
        <v>1353</v>
      </c>
      <c r="CZ97" s="70">
        <v>1322</v>
      </c>
      <c r="DA97" s="70">
        <v>1280</v>
      </c>
      <c r="DB97" s="70">
        <v>1213</v>
      </c>
      <c r="DC97" s="70">
        <v>1220</v>
      </c>
      <c r="DD97" s="70">
        <v>1173</v>
      </c>
      <c r="DE97" s="70">
        <v>1242</v>
      </c>
      <c r="DF97" s="70">
        <v>1323</v>
      </c>
      <c r="DG97" s="70">
        <v>1302</v>
      </c>
      <c r="DH97" s="70">
        <v>1573</v>
      </c>
      <c r="DI97" s="70">
        <v>1540</v>
      </c>
      <c r="DJ97" s="70">
        <v>1348</v>
      </c>
      <c r="DK97" s="70">
        <v>1404</v>
      </c>
      <c r="DL97" s="46">
        <v>1320</v>
      </c>
      <c r="DM97" s="46">
        <v>1295</v>
      </c>
      <c r="DN97" s="46">
        <v>1140</v>
      </c>
      <c r="DO97" s="46">
        <v>1167</v>
      </c>
      <c r="DP97" s="46">
        <v>1198</v>
      </c>
      <c r="DQ97" s="46">
        <v>1182</v>
      </c>
      <c r="DR97" s="46">
        <v>1242</v>
      </c>
      <c r="DS97" s="46">
        <v>1292</v>
      </c>
      <c r="DT97" s="46">
        <v>1514</v>
      </c>
      <c r="DU97" s="46">
        <v>1497</v>
      </c>
      <c r="DV97" s="46">
        <v>1447</v>
      </c>
      <c r="DW97" s="46">
        <v>1438</v>
      </c>
      <c r="DX97" s="46">
        <v>1393</v>
      </c>
      <c r="DY97" s="46">
        <v>1413</v>
      </c>
      <c r="DZ97" s="46">
        <v>1365</v>
      </c>
      <c r="EA97" s="46">
        <v>1363</v>
      </c>
      <c r="EB97" s="46">
        <v>1306</v>
      </c>
      <c r="EC97" s="46">
        <v>1224</v>
      </c>
      <c r="ED97" s="46">
        <v>1474</v>
      </c>
      <c r="EE97" s="46">
        <v>1511</v>
      </c>
      <c r="EF97" s="46">
        <v>1702</v>
      </c>
      <c r="EG97" s="46">
        <v>1560</v>
      </c>
      <c r="EH97" s="46">
        <v>1059</v>
      </c>
      <c r="EI97" s="46">
        <v>1515</v>
      </c>
      <c r="EJ97" s="46">
        <v>1458</v>
      </c>
      <c r="EK97" s="46">
        <v>1337</v>
      </c>
      <c r="EL97" s="46">
        <v>1237</v>
      </c>
      <c r="EM97" s="46">
        <v>1314</v>
      </c>
      <c r="EN97" s="46">
        <v>1229</v>
      </c>
      <c r="EO97" s="46">
        <v>1226</v>
      </c>
      <c r="EP97" s="46">
        <v>1338</v>
      </c>
      <c r="EQ97" s="46">
        <v>1372</v>
      </c>
      <c r="ER97" s="46">
        <v>1577</v>
      </c>
      <c r="ES97" s="46">
        <v>1249</v>
      </c>
      <c r="ET97" s="46">
        <v>4134</v>
      </c>
      <c r="EU97" s="46">
        <v>4032</v>
      </c>
      <c r="EV97" s="46">
        <v>3769</v>
      </c>
      <c r="EW97" s="46">
        <v>4287</v>
      </c>
      <c r="EX97" s="71">
        <v>4206.2519302347037</v>
      </c>
      <c r="EY97" s="71">
        <v>4224.8958749884641</v>
      </c>
      <c r="EZ97" s="71">
        <v>4243.5398197422246</v>
      </c>
      <c r="FA97" s="71">
        <v>4262.1837644959851</v>
      </c>
      <c r="FB97" s="71">
        <v>4280.8277092497456</v>
      </c>
      <c r="FC97" s="71">
        <v>4299.471654003506</v>
      </c>
      <c r="FD97" s="71">
        <v>4318.1155987572665</v>
      </c>
      <c r="FE97" s="71">
        <v>4336.759543511027</v>
      </c>
      <c r="FF97" s="72">
        <v>786796</v>
      </c>
      <c r="FG97" s="72">
        <v>790173</v>
      </c>
      <c r="FH97" s="476">
        <v>796216</v>
      </c>
      <c r="FI97" s="476">
        <v>798309.00699999998</v>
      </c>
      <c r="FJ97" s="476">
        <v>802758.43799999997</v>
      </c>
      <c r="FK97" s="476">
        <v>807355.07300000009</v>
      </c>
    </row>
    <row r="98" spans="1:167">
      <c r="A98" s="73" t="s">
        <v>913</v>
      </c>
      <c r="B98" s="19" t="s">
        <v>914</v>
      </c>
      <c r="C98" s="74" t="s">
        <v>743</v>
      </c>
      <c r="D98" s="75" t="s">
        <v>345</v>
      </c>
      <c r="E98" s="76">
        <v>205</v>
      </c>
      <c r="F98" s="77">
        <v>225</v>
      </c>
      <c r="G98" s="410">
        <v>250</v>
      </c>
      <c r="H98" s="78">
        <v>33150</v>
      </c>
      <c r="I98" s="77">
        <v>34305</v>
      </c>
      <c r="J98" s="410">
        <v>35357</v>
      </c>
      <c r="K98" s="410">
        <v>35890.811999999998</v>
      </c>
      <c r="L98" s="418">
        <v>36580.33</v>
      </c>
      <c r="M98" s="79">
        <v>624.4</v>
      </c>
      <c r="N98" s="80">
        <v>653</v>
      </c>
      <c r="O98" s="421">
        <v>725.9</v>
      </c>
      <c r="P98" s="71">
        <v>224</v>
      </c>
      <c r="Q98" s="75" t="s">
        <v>345</v>
      </c>
      <c r="R98" s="81">
        <v>120</v>
      </c>
      <c r="S98" s="77">
        <v>130</v>
      </c>
      <c r="T98" s="452">
        <v>160</v>
      </c>
      <c r="U98" s="77">
        <v>145</v>
      </c>
      <c r="V98" s="77">
        <v>160</v>
      </c>
      <c r="W98" s="452">
        <v>190</v>
      </c>
      <c r="X98" s="82">
        <v>82.6</v>
      </c>
      <c r="Y98" s="83">
        <v>82</v>
      </c>
      <c r="Z98" s="443">
        <v>85.6</v>
      </c>
      <c r="AA98" s="63">
        <v>139</v>
      </c>
      <c r="AB98" s="63">
        <v>160</v>
      </c>
      <c r="AC98" s="19" t="s">
        <v>345</v>
      </c>
      <c r="AD98" s="84">
        <v>101</v>
      </c>
      <c r="AE98" s="85">
        <v>184</v>
      </c>
      <c r="AF98" s="85">
        <v>170</v>
      </c>
      <c r="AG98" s="85">
        <v>203</v>
      </c>
      <c r="AH98" s="85">
        <v>192</v>
      </c>
      <c r="AI98" s="85">
        <v>80</v>
      </c>
      <c r="AJ98" s="85">
        <v>190</v>
      </c>
      <c r="AK98" s="85">
        <v>190</v>
      </c>
      <c r="AL98" s="96">
        <v>154</v>
      </c>
      <c r="AM98" s="96">
        <v>173</v>
      </c>
      <c r="AN98" s="96">
        <v>157</v>
      </c>
      <c r="AO98" s="96">
        <v>200</v>
      </c>
      <c r="AP98" s="96">
        <v>140</v>
      </c>
      <c r="AQ98" s="96">
        <v>221</v>
      </c>
      <c r="AR98" s="96">
        <v>322</v>
      </c>
      <c r="AS98" s="96">
        <v>240</v>
      </c>
      <c r="AT98" s="96">
        <v>211</v>
      </c>
      <c r="AU98" s="96">
        <v>230</v>
      </c>
      <c r="AV98" s="96">
        <v>227</v>
      </c>
      <c r="AW98" s="96">
        <v>202</v>
      </c>
      <c r="AX98" s="97">
        <v>149</v>
      </c>
      <c r="AY98" s="97">
        <v>143</v>
      </c>
      <c r="AZ98" s="97">
        <v>130</v>
      </c>
      <c r="BA98" s="97">
        <v>195</v>
      </c>
      <c r="BB98" s="97">
        <v>223</v>
      </c>
      <c r="BC98" s="97">
        <v>116</v>
      </c>
      <c r="BD98" s="87">
        <v>54</v>
      </c>
      <c r="BE98" s="87">
        <v>72</v>
      </c>
      <c r="BF98" s="87">
        <v>69</v>
      </c>
      <c r="BG98" s="87">
        <v>129</v>
      </c>
      <c r="BH98" s="87">
        <v>132</v>
      </c>
      <c r="BI98" s="87">
        <v>134</v>
      </c>
      <c r="BJ98" s="87">
        <v>122</v>
      </c>
      <c r="BK98" s="87">
        <v>95</v>
      </c>
      <c r="BL98" s="87">
        <v>99</v>
      </c>
      <c r="BM98" s="87">
        <v>169</v>
      </c>
      <c r="BN98" s="87">
        <v>185</v>
      </c>
      <c r="BO98" s="87">
        <v>174</v>
      </c>
      <c r="BP98" s="87">
        <v>170</v>
      </c>
      <c r="BQ98" s="87">
        <v>170</v>
      </c>
      <c r="BR98" s="96">
        <v>202</v>
      </c>
      <c r="BS98" s="96">
        <v>224</v>
      </c>
      <c r="BT98" s="96">
        <v>146</v>
      </c>
      <c r="BU98" s="96">
        <v>253</v>
      </c>
      <c r="BV98" s="67">
        <v>316</v>
      </c>
      <c r="BW98" s="67">
        <v>528</v>
      </c>
      <c r="BX98" s="67">
        <v>542</v>
      </c>
      <c r="BY98" s="67">
        <v>623</v>
      </c>
      <c r="BZ98" s="68">
        <v>469.2509513742072</v>
      </c>
      <c r="CA98" s="68">
        <v>465.25010570824526</v>
      </c>
      <c r="CB98" s="68">
        <v>461.24926004228331</v>
      </c>
      <c r="CC98" s="68">
        <v>457.24841437632136</v>
      </c>
      <c r="CD98" s="68">
        <v>453.24756871035942</v>
      </c>
      <c r="CE98" s="68">
        <v>449.24672304439747</v>
      </c>
      <c r="CF98" s="68">
        <v>445.24587737843552</v>
      </c>
      <c r="CG98" s="68">
        <v>441.24503171247358</v>
      </c>
      <c r="CH98" s="87">
        <v>169200</v>
      </c>
      <c r="CI98" s="467">
        <v>170144</v>
      </c>
      <c r="CJ98" s="467">
        <v>170664.2980000001</v>
      </c>
      <c r="CK98" s="467">
        <v>171627.10799999992</v>
      </c>
      <c r="CL98" s="468">
        <v>172405.97400000007</v>
      </c>
      <c r="CM98" s="19" t="s">
        <v>345</v>
      </c>
      <c r="CN98" s="70">
        <v>501</v>
      </c>
      <c r="CO98" s="70">
        <v>392</v>
      </c>
      <c r="CP98" s="70">
        <v>425</v>
      </c>
      <c r="CQ98" s="70">
        <v>429</v>
      </c>
      <c r="CR98" s="70">
        <v>452</v>
      </c>
      <c r="CS98" s="70">
        <v>518</v>
      </c>
      <c r="CT98" s="70">
        <v>556</v>
      </c>
      <c r="CU98" s="70">
        <v>549</v>
      </c>
      <c r="CV98" s="70">
        <v>578</v>
      </c>
      <c r="CW98" s="70">
        <v>481</v>
      </c>
      <c r="CX98" s="70">
        <v>474</v>
      </c>
      <c r="CY98" s="70">
        <v>519</v>
      </c>
      <c r="CZ98" s="70">
        <v>482</v>
      </c>
      <c r="DA98" s="70">
        <v>512</v>
      </c>
      <c r="DB98" s="70">
        <v>489</v>
      </c>
      <c r="DC98" s="70">
        <v>489</v>
      </c>
      <c r="DD98" s="70">
        <v>455</v>
      </c>
      <c r="DE98" s="70">
        <v>536</v>
      </c>
      <c r="DF98" s="70">
        <v>601</v>
      </c>
      <c r="DG98" s="70">
        <v>651</v>
      </c>
      <c r="DH98" s="70">
        <v>725</v>
      </c>
      <c r="DI98" s="70">
        <v>653</v>
      </c>
      <c r="DJ98" s="70">
        <v>575</v>
      </c>
      <c r="DK98" s="70">
        <v>674</v>
      </c>
      <c r="DL98" s="46">
        <v>627</v>
      </c>
      <c r="DM98" s="46">
        <v>601</v>
      </c>
      <c r="DN98" s="46">
        <v>546</v>
      </c>
      <c r="DO98" s="46">
        <v>567</v>
      </c>
      <c r="DP98" s="46">
        <v>546</v>
      </c>
      <c r="DQ98" s="46">
        <v>569</v>
      </c>
      <c r="DR98" s="46">
        <v>626</v>
      </c>
      <c r="DS98" s="46">
        <v>574</v>
      </c>
      <c r="DT98" s="46">
        <v>681</v>
      </c>
      <c r="DU98" s="46">
        <v>625</v>
      </c>
      <c r="DV98" s="46">
        <v>621</v>
      </c>
      <c r="DW98" s="46">
        <v>582</v>
      </c>
      <c r="DX98" s="46">
        <v>574</v>
      </c>
      <c r="DY98" s="46">
        <v>639</v>
      </c>
      <c r="DZ98" s="46">
        <v>558</v>
      </c>
      <c r="EA98" s="46">
        <v>507</v>
      </c>
      <c r="EB98" s="46">
        <v>540</v>
      </c>
      <c r="EC98" s="46">
        <v>557</v>
      </c>
      <c r="ED98" s="46">
        <v>607</v>
      </c>
      <c r="EE98" s="46">
        <v>642</v>
      </c>
      <c r="EF98" s="46">
        <v>723</v>
      </c>
      <c r="EG98" s="46">
        <v>640</v>
      </c>
      <c r="EH98" s="46">
        <v>560</v>
      </c>
      <c r="EI98" s="46">
        <v>652</v>
      </c>
      <c r="EJ98" s="46">
        <v>583</v>
      </c>
      <c r="EK98" s="46">
        <v>599</v>
      </c>
      <c r="EL98" s="46">
        <v>572</v>
      </c>
      <c r="EM98" s="46">
        <v>551</v>
      </c>
      <c r="EN98" s="46">
        <v>540</v>
      </c>
      <c r="EO98" s="46">
        <v>545</v>
      </c>
      <c r="EP98" s="46">
        <v>595</v>
      </c>
      <c r="EQ98" s="46">
        <v>575</v>
      </c>
      <c r="ER98" s="46">
        <v>695</v>
      </c>
      <c r="ES98" s="46">
        <v>560</v>
      </c>
      <c r="ET98" s="46">
        <v>1852</v>
      </c>
      <c r="EU98" s="46">
        <v>1754</v>
      </c>
      <c r="EV98" s="46">
        <v>1636</v>
      </c>
      <c r="EW98" s="46">
        <v>1865</v>
      </c>
      <c r="EX98" s="71">
        <v>1916.4489833584546</v>
      </c>
      <c r="EY98" s="71">
        <v>1936.293611000031</v>
      </c>
      <c r="EZ98" s="71">
        <v>1956.1382386416071</v>
      </c>
      <c r="FA98" s="71">
        <v>1975.9828662831831</v>
      </c>
      <c r="FB98" s="71">
        <v>1995.8274939247594</v>
      </c>
      <c r="FC98" s="71">
        <v>2015.6721215663358</v>
      </c>
      <c r="FD98" s="71">
        <v>2035.5167492079117</v>
      </c>
      <c r="FE98" s="71">
        <v>2055.3613768494879</v>
      </c>
      <c r="FF98" s="72">
        <v>225157</v>
      </c>
      <c r="FG98" s="72">
        <v>225875</v>
      </c>
      <c r="FH98" s="476">
        <v>227312</v>
      </c>
      <c r="FI98" s="476">
        <v>227516.421</v>
      </c>
      <c r="FJ98" s="476">
        <v>228452.005</v>
      </c>
      <c r="FK98" s="476">
        <v>229399.908</v>
      </c>
    </row>
    <row r="99" spans="1:167">
      <c r="A99" s="73" t="s">
        <v>918</v>
      </c>
      <c r="B99" s="19" t="s">
        <v>919</v>
      </c>
      <c r="C99" s="74" t="s">
        <v>744</v>
      </c>
      <c r="D99" s="75" t="s">
        <v>348</v>
      </c>
      <c r="E99" s="76">
        <v>555</v>
      </c>
      <c r="F99" s="77">
        <v>580</v>
      </c>
      <c r="G99" s="410">
        <v>625</v>
      </c>
      <c r="H99" s="78">
        <v>104640</v>
      </c>
      <c r="I99" s="77">
        <v>109015</v>
      </c>
      <c r="J99" s="410">
        <v>112426</v>
      </c>
      <c r="K99" s="410">
        <v>115693.13499999995</v>
      </c>
      <c r="L99" s="418">
        <v>118779.95000000001</v>
      </c>
      <c r="M99" s="79">
        <v>532.29999999999995</v>
      </c>
      <c r="N99" s="80">
        <v>533.9</v>
      </c>
      <c r="O99" s="421">
        <v>574.20000000000005</v>
      </c>
      <c r="P99" s="71">
        <v>546</v>
      </c>
      <c r="Q99" s="75" t="s">
        <v>348</v>
      </c>
      <c r="R99" s="81">
        <v>525</v>
      </c>
      <c r="S99" s="77">
        <v>345</v>
      </c>
      <c r="T99" s="452">
        <v>375</v>
      </c>
      <c r="U99" s="77">
        <v>615</v>
      </c>
      <c r="V99" s="77">
        <v>480</v>
      </c>
      <c r="W99" s="452">
        <v>435</v>
      </c>
      <c r="X99" s="82">
        <v>85.2</v>
      </c>
      <c r="Y99" s="83">
        <v>71.7</v>
      </c>
      <c r="Z99" s="443">
        <v>86.2</v>
      </c>
      <c r="AA99" s="63">
        <v>400</v>
      </c>
      <c r="AB99" s="63">
        <v>500</v>
      </c>
      <c r="AC99" s="19" t="s">
        <v>348</v>
      </c>
      <c r="AD99" s="84">
        <v>3327</v>
      </c>
      <c r="AE99" s="85">
        <v>4621</v>
      </c>
      <c r="AF99" s="85">
        <v>4992</v>
      </c>
      <c r="AG99" s="85">
        <v>4583</v>
      </c>
      <c r="AH99" s="85">
        <v>4932</v>
      </c>
      <c r="AI99" s="85">
        <v>3486</v>
      </c>
      <c r="AJ99" s="85">
        <v>3154</v>
      </c>
      <c r="AK99" s="85">
        <v>4742</v>
      </c>
      <c r="AL99" s="96">
        <v>4029</v>
      </c>
      <c r="AM99" s="96">
        <v>4075</v>
      </c>
      <c r="AN99" s="96">
        <v>3565</v>
      </c>
      <c r="AO99" s="96">
        <v>4196</v>
      </c>
      <c r="AP99" s="96">
        <v>4819</v>
      </c>
      <c r="AQ99" s="96">
        <v>5635</v>
      </c>
      <c r="AR99" s="96">
        <v>6335</v>
      </c>
      <c r="AS99" s="96">
        <v>5327</v>
      </c>
      <c r="AT99" s="96">
        <v>5969</v>
      </c>
      <c r="AU99" s="96">
        <v>5437</v>
      </c>
      <c r="AV99" s="96">
        <v>5784</v>
      </c>
      <c r="AW99" s="96">
        <v>6332</v>
      </c>
      <c r="AX99" s="97">
        <v>5775</v>
      </c>
      <c r="AY99" s="97">
        <v>5467</v>
      </c>
      <c r="AZ99" s="97">
        <v>4976</v>
      </c>
      <c r="BA99" s="97">
        <v>4488</v>
      </c>
      <c r="BB99" s="97">
        <v>4492</v>
      </c>
      <c r="BC99" s="97">
        <v>4762</v>
      </c>
      <c r="BD99" s="87">
        <v>4350</v>
      </c>
      <c r="BE99" s="87">
        <v>3436</v>
      </c>
      <c r="BF99" s="87">
        <v>3628</v>
      </c>
      <c r="BG99" s="87">
        <v>4876</v>
      </c>
      <c r="BH99" s="87">
        <v>5224</v>
      </c>
      <c r="BI99" s="87">
        <v>5552</v>
      </c>
      <c r="BJ99" s="87">
        <v>4953</v>
      </c>
      <c r="BK99" s="87">
        <v>4241</v>
      </c>
      <c r="BL99" s="87">
        <v>4113</v>
      </c>
      <c r="BM99" s="87">
        <v>4379</v>
      </c>
      <c r="BN99" s="87">
        <v>4710</v>
      </c>
      <c r="BO99" s="87">
        <v>4917</v>
      </c>
      <c r="BP99" s="87">
        <v>4818</v>
      </c>
      <c r="BQ99" s="87">
        <v>4184</v>
      </c>
      <c r="BR99" s="96">
        <v>4445</v>
      </c>
      <c r="BS99" s="96">
        <v>4564</v>
      </c>
      <c r="BT99" s="96">
        <v>4304</v>
      </c>
      <c r="BU99" s="96">
        <v>4116</v>
      </c>
      <c r="BV99" s="67">
        <v>13307</v>
      </c>
      <c r="BW99" s="67">
        <v>14006</v>
      </c>
      <c r="BX99" s="67">
        <v>13447</v>
      </c>
      <c r="BY99" s="67">
        <v>12984</v>
      </c>
      <c r="BZ99" s="68">
        <v>14137.882452431291</v>
      </c>
      <c r="CA99" s="68">
        <v>14148.724312896404</v>
      </c>
      <c r="CB99" s="68">
        <v>14159.566173361522</v>
      </c>
      <c r="CC99" s="68">
        <v>14170.408033826639</v>
      </c>
      <c r="CD99" s="68">
        <v>14181.249894291755</v>
      </c>
      <c r="CE99" s="68">
        <v>14192.09175475687</v>
      </c>
      <c r="CF99" s="68">
        <v>14202.933615221988</v>
      </c>
      <c r="CG99" s="68">
        <v>14213.775475687104</v>
      </c>
      <c r="CH99" s="87">
        <v>521400</v>
      </c>
      <c r="CI99" s="467">
        <v>525858</v>
      </c>
      <c r="CJ99" s="467">
        <v>526767.17799999984</v>
      </c>
      <c r="CK99" s="467">
        <v>529940.62399999995</v>
      </c>
      <c r="CL99" s="468">
        <v>533140.44900000014</v>
      </c>
      <c r="CM99" s="19" t="s">
        <v>348</v>
      </c>
      <c r="CN99" s="70">
        <v>828</v>
      </c>
      <c r="CO99" s="70">
        <v>721</v>
      </c>
      <c r="CP99" s="70">
        <v>738</v>
      </c>
      <c r="CQ99" s="70">
        <v>719</v>
      </c>
      <c r="CR99" s="70">
        <v>685</v>
      </c>
      <c r="CS99" s="70">
        <v>751</v>
      </c>
      <c r="CT99" s="70">
        <v>808</v>
      </c>
      <c r="CU99" s="70">
        <v>844</v>
      </c>
      <c r="CV99" s="70">
        <v>968</v>
      </c>
      <c r="CW99" s="70">
        <v>868</v>
      </c>
      <c r="CX99" s="70">
        <v>803</v>
      </c>
      <c r="CY99" s="70">
        <v>820</v>
      </c>
      <c r="CZ99" s="70">
        <v>771</v>
      </c>
      <c r="DA99" s="70">
        <v>793</v>
      </c>
      <c r="DB99" s="70">
        <v>759</v>
      </c>
      <c r="DC99" s="70">
        <v>783</v>
      </c>
      <c r="DD99" s="70">
        <v>724</v>
      </c>
      <c r="DE99" s="70">
        <v>749</v>
      </c>
      <c r="DF99" s="70">
        <v>852</v>
      </c>
      <c r="DG99" s="70">
        <v>824</v>
      </c>
      <c r="DH99" s="70">
        <v>994</v>
      </c>
      <c r="DI99" s="70">
        <v>838</v>
      </c>
      <c r="DJ99" s="70">
        <v>744</v>
      </c>
      <c r="DK99" s="70">
        <v>816</v>
      </c>
      <c r="DL99" s="46">
        <v>819</v>
      </c>
      <c r="DM99" s="46">
        <v>768</v>
      </c>
      <c r="DN99" s="46">
        <v>801</v>
      </c>
      <c r="DO99" s="46">
        <v>763</v>
      </c>
      <c r="DP99" s="46">
        <v>808</v>
      </c>
      <c r="DQ99" s="46">
        <v>726</v>
      </c>
      <c r="DR99" s="46">
        <v>761</v>
      </c>
      <c r="DS99" s="46">
        <v>872</v>
      </c>
      <c r="DT99" s="46">
        <v>946</v>
      </c>
      <c r="DU99" s="46">
        <v>859</v>
      </c>
      <c r="DV99" s="46">
        <v>798</v>
      </c>
      <c r="DW99" s="46">
        <v>826</v>
      </c>
      <c r="DX99" s="46">
        <v>766</v>
      </c>
      <c r="DY99" s="46">
        <v>890</v>
      </c>
      <c r="DZ99" s="46">
        <v>787</v>
      </c>
      <c r="EA99" s="46">
        <v>884</v>
      </c>
      <c r="EB99" s="46">
        <v>793</v>
      </c>
      <c r="EC99" s="46">
        <v>842</v>
      </c>
      <c r="ED99" s="46">
        <v>945</v>
      </c>
      <c r="EE99" s="46">
        <v>978</v>
      </c>
      <c r="EF99" s="46">
        <v>1065</v>
      </c>
      <c r="EG99" s="46">
        <v>988</v>
      </c>
      <c r="EH99" s="46">
        <v>878</v>
      </c>
      <c r="EI99" s="46">
        <v>899</v>
      </c>
      <c r="EJ99" s="46">
        <v>915</v>
      </c>
      <c r="EK99" s="46">
        <v>865</v>
      </c>
      <c r="EL99" s="46">
        <v>795</v>
      </c>
      <c r="EM99" s="46">
        <v>884</v>
      </c>
      <c r="EN99" s="46">
        <v>792</v>
      </c>
      <c r="EO99" s="46">
        <v>845</v>
      </c>
      <c r="EP99" s="46">
        <v>941</v>
      </c>
      <c r="EQ99" s="46">
        <v>925</v>
      </c>
      <c r="ER99" s="46">
        <v>1055</v>
      </c>
      <c r="ES99" s="46">
        <v>791</v>
      </c>
      <c r="ET99" s="46">
        <v>2765</v>
      </c>
      <c r="EU99" s="46">
        <v>2575</v>
      </c>
      <c r="EV99" s="46">
        <v>2521</v>
      </c>
      <c r="EW99" s="46">
        <v>2921</v>
      </c>
      <c r="EX99" s="71">
        <v>2752.7249377095573</v>
      </c>
      <c r="EY99" s="71">
        <v>2775.4008736042329</v>
      </c>
      <c r="EZ99" s="71">
        <v>2798.076809498908</v>
      </c>
      <c r="FA99" s="71">
        <v>2820.7527453935836</v>
      </c>
      <c r="FB99" s="71">
        <v>2843.4286812882588</v>
      </c>
      <c r="FC99" s="71">
        <v>2866.1046171829339</v>
      </c>
      <c r="FD99" s="71">
        <v>2888.7805530776091</v>
      </c>
      <c r="FE99" s="71">
        <v>2911.4564889722842</v>
      </c>
      <c r="FF99" s="72">
        <v>654791</v>
      </c>
      <c r="FG99" s="72">
        <v>660772</v>
      </c>
      <c r="FH99" s="476">
        <v>666082</v>
      </c>
      <c r="FI99" s="476">
        <v>668170.74100000004</v>
      </c>
      <c r="FJ99" s="476">
        <v>672255.38900000008</v>
      </c>
      <c r="FK99" s="476">
        <v>676596.10000000009</v>
      </c>
    </row>
    <row r="100" spans="1:167">
      <c r="A100" s="73" t="s">
        <v>928</v>
      </c>
      <c r="B100" s="19" t="s">
        <v>929</v>
      </c>
      <c r="C100" s="74" t="s">
        <v>745</v>
      </c>
      <c r="D100" s="75" t="s">
        <v>351</v>
      </c>
      <c r="E100" s="76">
        <v>140</v>
      </c>
      <c r="F100" s="77">
        <v>125</v>
      </c>
      <c r="G100" s="410">
        <v>155</v>
      </c>
      <c r="H100" s="78">
        <v>25075</v>
      </c>
      <c r="I100" s="77">
        <v>25980</v>
      </c>
      <c r="J100" s="410">
        <v>26644</v>
      </c>
      <c r="K100" s="410">
        <v>27225.861999999997</v>
      </c>
      <c r="L100" s="418">
        <v>27878.891000000003</v>
      </c>
      <c r="M100" s="79">
        <v>554.29999999999995</v>
      </c>
      <c r="N100" s="80">
        <v>481.2</v>
      </c>
      <c r="O100" s="421">
        <v>592.79999999999995</v>
      </c>
      <c r="P100" s="71">
        <v>147</v>
      </c>
      <c r="Q100" s="75" t="s">
        <v>351</v>
      </c>
      <c r="R100" s="81">
        <v>110</v>
      </c>
      <c r="S100" s="77">
        <v>160</v>
      </c>
      <c r="T100" s="452">
        <v>50</v>
      </c>
      <c r="U100" s="77">
        <v>125</v>
      </c>
      <c r="V100" s="77">
        <v>200</v>
      </c>
      <c r="W100" s="452">
        <v>65</v>
      </c>
      <c r="X100" s="82">
        <v>88.9</v>
      </c>
      <c r="Y100" s="83">
        <v>78.599999999999994</v>
      </c>
      <c r="Z100" s="443">
        <v>73.8</v>
      </c>
      <c r="AA100" s="63">
        <v>400</v>
      </c>
      <c r="AB100" s="63">
        <v>800</v>
      </c>
      <c r="AC100" s="19" t="s">
        <v>351</v>
      </c>
      <c r="AD100" s="84">
        <v>123</v>
      </c>
      <c r="AE100" s="85">
        <v>200</v>
      </c>
      <c r="AF100" s="85">
        <v>208</v>
      </c>
      <c r="AG100" s="85">
        <v>198</v>
      </c>
      <c r="AH100" s="85">
        <v>184</v>
      </c>
      <c r="AI100" s="85">
        <v>245</v>
      </c>
      <c r="AJ100" s="85">
        <v>242</v>
      </c>
      <c r="AK100" s="85">
        <v>270</v>
      </c>
      <c r="AL100" s="96">
        <v>250</v>
      </c>
      <c r="AM100" s="96">
        <v>207</v>
      </c>
      <c r="AN100" s="96">
        <v>190</v>
      </c>
      <c r="AO100" s="96">
        <v>191</v>
      </c>
      <c r="AP100" s="96">
        <v>258</v>
      </c>
      <c r="AQ100" s="96">
        <v>289</v>
      </c>
      <c r="AR100" s="96">
        <v>125</v>
      </c>
      <c r="AS100" s="96">
        <v>127</v>
      </c>
      <c r="AT100" s="96">
        <v>130</v>
      </c>
      <c r="AU100" s="96">
        <v>143</v>
      </c>
      <c r="AV100" s="96">
        <v>147</v>
      </c>
      <c r="AW100" s="96">
        <v>244</v>
      </c>
      <c r="AX100" s="97">
        <v>195</v>
      </c>
      <c r="AY100" s="97">
        <v>204</v>
      </c>
      <c r="AZ100" s="97">
        <v>271</v>
      </c>
      <c r="BA100" s="97">
        <v>220</v>
      </c>
      <c r="BB100" s="97">
        <v>242</v>
      </c>
      <c r="BC100" s="97">
        <v>172</v>
      </c>
      <c r="BD100" s="87">
        <v>266</v>
      </c>
      <c r="BE100" s="87">
        <v>440</v>
      </c>
      <c r="BF100" s="87">
        <v>463</v>
      </c>
      <c r="BG100" s="87">
        <v>397</v>
      </c>
      <c r="BH100" s="87">
        <v>246</v>
      </c>
      <c r="BI100" s="87">
        <v>416</v>
      </c>
      <c r="BJ100" s="87">
        <v>559</v>
      </c>
      <c r="BK100" s="87">
        <v>677</v>
      </c>
      <c r="BL100" s="87">
        <v>573</v>
      </c>
      <c r="BM100" s="87">
        <v>447</v>
      </c>
      <c r="BN100" s="87">
        <v>690</v>
      </c>
      <c r="BO100" s="87">
        <v>658</v>
      </c>
      <c r="BP100" s="87">
        <v>582</v>
      </c>
      <c r="BQ100" s="87">
        <v>433</v>
      </c>
      <c r="BR100" s="96">
        <v>535</v>
      </c>
      <c r="BS100" s="96">
        <v>660</v>
      </c>
      <c r="BT100" s="96">
        <v>410</v>
      </c>
      <c r="BU100" s="96">
        <v>589</v>
      </c>
      <c r="BV100" s="67">
        <v>1809</v>
      </c>
      <c r="BW100" s="67">
        <v>1795</v>
      </c>
      <c r="BX100" s="67">
        <v>1550</v>
      </c>
      <c r="BY100" s="67">
        <v>1659</v>
      </c>
      <c r="BZ100" s="68">
        <v>1734.2416490486262</v>
      </c>
      <c r="CA100" s="68">
        <v>1831.0268498942919</v>
      </c>
      <c r="CB100" s="68">
        <v>1927.8120507399576</v>
      </c>
      <c r="CC100" s="68">
        <v>2024.5972515856238</v>
      </c>
      <c r="CD100" s="68">
        <v>2121.3824524312895</v>
      </c>
      <c r="CE100" s="68">
        <v>2218.1676532769561</v>
      </c>
      <c r="CF100" s="68">
        <v>2314.9528541226218</v>
      </c>
      <c r="CG100" s="68">
        <v>2411.7380549682875</v>
      </c>
      <c r="CH100" s="87">
        <v>141400</v>
      </c>
      <c r="CI100" s="467">
        <v>142556</v>
      </c>
      <c r="CJ100" s="467">
        <v>144611.56499999994</v>
      </c>
      <c r="CK100" s="467">
        <v>146185.34999999995</v>
      </c>
      <c r="CL100" s="468">
        <v>147792.94799999997</v>
      </c>
      <c r="CM100" s="19" t="s">
        <v>351</v>
      </c>
      <c r="CN100" s="70">
        <v>332</v>
      </c>
      <c r="CO100" s="70">
        <v>378</v>
      </c>
      <c r="CP100" s="70">
        <v>354</v>
      </c>
      <c r="CQ100" s="70">
        <v>323</v>
      </c>
      <c r="CR100" s="70">
        <v>291</v>
      </c>
      <c r="CS100" s="70">
        <v>290</v>
      </c>
      <c r="CT100" s="70">
        <v>384</v>
      </c>
      <c r="CU100" s="70">
        <v>372</v>
      </c>
      <c r="CV100" s="70">
        <v>399</v>
      </c>
      <c r="CW100" s="70">
        <v>321</v>
      </c>
      <c r="CX100" s="70">
        <v>280</v>
      </c>
      <c r="CY100" s="70">
        <v>311</v>
      </c>
      <c r="CZ100" s="70">
        <v>256</v>
      </c>
      <c r="DA100" s="70">
        <v>296</v>
      </c>
      <c r="DB100" s="70">
        <v>253</v>
      </c>
      <c r="DC100" s="70">
        <v>264</v>
      </c>
      <c r="DD100" s="70">
        <v>281</v>
      </c>
      <c r="DE100" s="70">
        <v>234</v>
      </c>
      <c r="DF100" s="70">
        <v>305</v>
      </c>
      <c r="DG100" s="70">
        <v>343</v>
      </c>
      <c r="DH100" s="70">
        <v>404</v>
      </c>
      <c r="DI100" s="70">
        <v>306</v>
      </c>
      <c r="DJ100" s="70">
        <v>318</v>
      </c>
      <c r="DK100" s="70">
        <v>312</v>
      </c>
      <c r="DL100" s="46">
        <v>318</v>
      </c>
      <c r="DM100" s="46">
        <v>325</v>
      </c>
      <c r="DN100" s="46">
        <v>294</v>
      </c>
      <c r="DO100" s="46">
        <v>266</v>
      </c>
      <c r="DP100" s="46">
        <v>305</v>
      </c>
      <c r="DQ100" s="46">
        <v>296</v>
      </c>
      <c r="DR100" s="46">
        <v>327</v>
      </c>
      <c r="DS100" s="46">
        <v>318</v>
      </c>
      <c r="DT100" s="46">
        <v>397</v>
      </c>
      <c r="DU100" s="46">
        <v>389</v>
      </c>
      <c r="DV100" s="46">
        <v>394</v>
      </c>
      <c r="DW100" s="46">
        <v>329</v>
      </c>
      <c r="DX100" s="46">
        <v>338</v>
      </c>
      <c r="DY100" s="46">
        <v>336</v>
      </c>
      <c r="DZ100" s="46">
        <v>351</v>
      </c>
      <c r="EA100" s="46">
        <v>351</v>
      </c>
      <c r="EB100" s="46">
        <v>292</v>
      </c>
      <c r="EC100" s="46">
        <v>309</v>
      </c>
      <c r="ED100" s="46">
        <v>339</v>
      </c>
      <c r="EE100" s="46">
        <v>375</v>
      </c>
      <c r="EF100" s="46">
        <v>447</v>
      </c>
      <c r="EG100" s="46">
        <v>354</v>
      </c>
      <c r="EH100" s="46">
        <v>344</v>
      </c>
      <c r="EI100" s="46">
        <v>331</v>
      </c>
      <c r="EJ100" s="46">
        <v>334</v>
      </c>
      <c r="EK100" s="46">
        <v>313</v>
      </c>
      <c r="EL100" s="46">
        <v>284</v>
      </c>
      <c r="EM100" s="46">
        <v>287</v>
      </c>
      <c r="EN100" s="46">
        <v>274</v>
      </c>
      <c r="EO100" s="46">
        <v>312</v>
      </c>
      <c r="EP100" s="46">
        <v>317</v>
      </c>
      <c r="EQ100" s="46">
        <v>395</v>
      </c>
      <c r="ER100" s="46">
        <v>490</v>
      </c>
      <c r="ES100" s="46">
        <v>348</v>
      </c>
      <c r="ET100" s="46">
        <v>1029</v>
      </c>
      <c r="EU100" s="46">
        <v>931</v>
      </c>
      <c r="EV100" s="46">
        <v>873</v>
      </c>
      <c r="EW100" s="46">
        <v>1202</v>
      </c>
      <c r="EX100" s="71">
        <v>1045.7686794426158</v>
      </c>
      <c r="EY100" s="71">
        <v>1051.1743824786981</v>
      </c>
      <c r="EZ100" s="71">
        <v>1056.5800855147806</v>
      </c>
      <c r="FA100" s="71">
        <v>1061.9857885508629</v>
      </c>
      <c r="FB100" s="71">
        <v>1067.3914915869452</v>
      </c>
      <c r="FC100" s="71">
        <v>1072.7971946230275</v>
      </c>
      <c r="FD100" s="71">
        <v>1078.2028976591098</v>
      </c>
      <c r="FE100" s="71">
        <v>1083.6086006951921</v>
      </c>
      <c r="FF100" s="72">
        <v>184457</v>
      </c>
      <c r="FG100" s="72">
        <v>186372</v>
      </c>
      <c r="FH100" s="476">
        <v>188373</v>
      </c>
      <c r="FI100" s="476">
        <v>190754.003</v>
      </c>
      <c r="FJ100" s="476">
        <v>192953.24900000001</v>
      </c>
      <c r="FK100" s="476">
        <v>195250.54800000001</v>
      </c>
    </row>
    <row r="101" spans="1:167">
      <c r="A101" s="73" t="s">
        <v>933</v>
      </c>
      <c r="B101" s="19" t="s">
        <v>934</v>
      </c>
      <c r="C101" s="74" t="s">
        <v>746</v>
      </c>
      <c r="D101" s="75" t="s">
        <v>354</v>
      </c>
      <c r="E101" s="76">
        <v>305</v>
      </c>
      <c r="F101" s="77">
        <v>305</v>
      </c>
      <c r="G101" s="410">
        <v>290</v>
      </c>
      <c r="H101" s="78">
        <v>41995</v>
      </c>
      <c r="I101" s="77">
        <v>43475</v>
      </c>
      <c r="J101" s="410">
        <v>44485</v>
      </c>
      <c r="K101" s="410">
        <v>45400.310000000005</v>
      </c>
      <c r="L101" s="418">
        <v>46174.205999999998</v>
      </c>
      <c r="M101" s="79">
        <v>726.3</v>
      </c>
      <c r="N101" s="80">
        <v>697</v>
      </c>
      <c r="O101" s="421">
        <v>664.7</v>
      </c>
      <c r="P101" s="71">
        <v>290</v>
      </c>
      <c r="Q101" s="75" t="s">
        <v>354</v>
      </c>
      <c r="R101" s="81">
        <v>510</v>
      </c>
      <c r="S101" s="77">
        <v>335</v>
      </c>
      <c r="T101" s="452">
        <v>300</v>
      </c>
      <c r="U101" s="77">
        <v>635</v>
      </c>
      <c r="V101" s="77">
        <v>375</v>
      </c>
      <c r="W101" s="452">
        <v>370</v>
      </c>
      <c r="X101" s="82">
        <v>80.3</v>
      </c>
      <c r="Y101" s="83">
        <v>89.3</v>
      </c>
      <c r="Z101" s="443">
        <v>80.8</v>
      </c>
      <c r="AA101" s="63">
        <v>337</v>
      </c>
      <c r="AB101" s="63">
        <v>375</v>
      </c>
      <c r="AC101" s="19" t="s">
        <v>354</v>
      </c>
      <c r="AD101" s="84">
        <v>734</v>
      </c>
      <c r="AE101" s="85">
        <v>562</v>
      </c>
      <c r="AF101" s="85">
        <v>641</v>
      </c>
      <c r="AG101" s="85">
        <v>597</v>
      </c>
      <c r="AH101" s="85">
        <v>371</v>
      </c>
      <c r="AI101" s="85">
        <v>420</v>
      </c>
      <c r="AJ101" s="85">
        <v>507</v>
      </c>
      <c r="AK101" s="85">
        <v>382</v>
      </c>
      <c r="AL101" s="96">
        <v>349</v>
      </c>
      <c r="AM101" s="96">
        <v>523</v>
      </c>
      <c r="AN101" s="96">
        <v>376</v>
      </c>
      <c r="AO101" s="96">
        <v>446</v>
      </c>
      <c r="AP101" s="96">
        <v>452</v>
      </c>
      <c r="AQ101" s="96">
        <v>193</v>
      </c>
      <c r="AR101" s="96">
        <v>283</v>
      </c>
      <c r="AS101" s="96">
        <v>355</v>
      </c>
      <c r="AT101" s="96">
        <v>387</v>
      </c>
      <c r="AU101" s="96">
        <v>460</v>
      </c>
      <c r="AV101" s="96">
        <v>294</v>
      </c>
      <c r="AW101" s="96">
        <v>380</v>
      </c>
      <c r="AX101" s="97">
        <v>254</v>
      </c>
      <c r="AY101" s="97">
        <v>555</v>
      </c>
      <c r="AZ101" s="97">
        <v>484</v>
      </c>
      <c r="BA101" s="97">
        <v>658</v>
      </c>
      <c r="BB101" s="97">
        <v>863</v>
      </c>
      <c r="BC101" s="97">
        <v>571</v>
      </c>
      <c r="BD101" s="87">
        <v>416</v>
      </c>
      <c r="BE101" s="87">
        <v>364</v>
      </c>
      <c r="BF101" s="87">
        <v>270</v>
      </c>
      <c r="BG101" s="87">
        <v>616</v>
      </c>
      <c r="BH101" s="87">
        <v>332</v>
      </c>
      <c r="BI101" s="87">
        <v>531</v>
      </c>
      <c r="BJ101" s="87">
        <v>481</v>
      </c>
      <c r="BK101" s="87">
        <v>874</v>
      </c>
      <c r="BL101" s="87">
        <v>742</v>
      </c>
      <c r="BM101" s="87">
        <v>731</v>
      </c>
      <c r="BN101" s="87">
        <v>830</v>
      </c>
      <c r="BO101" s="87">
        <v>746</v>
      </c>
      <c r="BP101" s="87">
        <v>1188</v>
      </c>
      <c r="BQ101" s="87">
        <v>537</v>
      </c>
      <c r="BR101" s="96">
        <v>726</v>
      </c>
      <c r="BS101" s="96">
        <v>978</v>
      </c>
      <c r="BT101" s="96">
        <v>1024</v>
      </c>
      <c r="BU101" s="96">
        <v>1285</v>
      </c>
      <c r="BV101" s="67">
        <v>2097</v>
      </c>
      <c r="BW101" s="67">
        <v>2307</v>
      </c>
      <c r="BX101" s="67">
        <v>2451</v>
      </c>
      <c r="BY101" s="67">
        <v>3287</v>
      </c>
      <c r="BZ101" s="68">
        <v>2447.3052854122625</v>
      </c>
      <c r="CA101" s="68">
        <v>2544.1450317124732</v>
      </c>
      <c r="CB101" s="68">
        <v>2640.9847780126847</v>
      </c>
      <c r="CC101" s="68">
        <v>2737.8245243128963</v>
      </c>
      <c r="CD101" s="68">
        <v>2834.6642706131079</v>
      </c>
      <c r="CE101" s="68">
        <v>2931.504016913319</v>
      </c>
      <c r="CF101" s="68">
        <v>3028.3437632135301</v>
      </c>
      <c r="CG101" s="68">
        <v>3125.1835095137421</v>
      </c>
      <c r="CH101" s="87">
        <v>207100</v>
      </c>
      <c r="CI101" s="467">
        <v>207877</v>
      </c>
      <c r="CJ101" s="467">
        <v>209033.59300000002</v>
      </c>
      <c r="CK101" s="467">
        <v>209832.99199999994</v>
      </c>
      <c r="CL101" s="468">
        <v>210494.71799999996</v>
      </c>
      <c r="CM101" s="19" t="s">
        <v>354</v>
      </c>
      <c r="CN101" s="70">
        <v>222</v>
      </c>
      <c r="CO101" s="70">
        <v>235</v>
      </c>
      <c r="CP101" s="70">
        <v>226</v>
      </c>
      <c r="CQ101" s="70">
        <v>215</v>
      </c>
      <c r="CR101" s="70">
        <v>195</v>
      </c>
      <c r="CS101" s="70">
        <v>206</v>
      </c>
      <c r="CT101" s="70">
        <v>255</v>
      </c>
      <c r="CU101" s="70">
        <v>256</v>
      </c>
      <c r="CV101" s="70">
        <v>301</v>
      </c>
      <c r="CW101" s="70">
        <v>273</v>
      </c>
      <c r="CX101" s="70">
        <v>301</v>
      </c>
      <c r="CY101" s="70">
        <v>301</v>
      </c>
      <c r="CZ101" s="70">
        <v>240</v>
      </c>
      <c r="DA101" s="70">
        <v>215</v>
      </c>
      <c r="DB101" s="70">
        <v>229</v>
      </c>
      <c r="DC101" s="70">
        <v>202</v>
      </c>
      <c r="DD101" s="70">
        <v>199</v>
      </c>
      <c r="DE101" s="70">
        <v>182</v>
      </c>
      <c r="DF101" s="70">
        <v>230</v>
      </c>
      <c r="DG101" s="70">
        <v>289</v>
      </c>
      <c r="DH101" s="70">
        <v>301</v>
      </c>
      <c r="DI101" s="70">
        <v>229</v>
      </c>
      <c r="DJ101" s="70">
        <v>217</v>
      </c>
      <c r="DK101" s="70">
        <v>269</v>
      </c>
      <c r="DL101" s="46">
        <v>222</v>
      </c>
      <c r="DM101" s="46">
        <v>186</v>
      </c>
      <c r="DN101" s="46">
        <v>175</v>
      </c>
      <c r="DO101" s="46">
        <v>199</v>
      </c>
      <c r="DP101" s="46">
        <v>182</v>
      </c>
      <c r="DQ101" s="46">
        <v>164</v>
      </c>
      <c r="DR101" s="46">
        <v>191</v>
      </c>
      <c r="DS101" s="46">
        <v>221</v>
      </c>
      <c r="DT101" s="46">
        <v>252</v>
      </c>
      <c r="DU101" s="46">
        <v>244</v>
      </c>
      <c r="DV101" s="46">
        <v>239</v>
      </c>
      <c r="DW101" s="46">
        <v>275</v>
      </c>
      <c r="DX101" s="46">
        <v>235</v>
      </c>
      <c r="DY101" s="46">
        <v>203</v>
      </c>
      <c r="DZ101" s="46">
        <v>211</v>
      </c>
      <c r="EA101" s="46">
        <v>191</v>
      </c>
      <c r="EB101" s="46">
        <v>165</v>
      </c>
      <c r="EC101" s="46">
        <v>172</v>
      </c>
      <c r="ED101" s="46">
        <v>205</v>
      </c>
      <c r="EE101" s="46">
        <v>242</v>
      </c>
      <c r="EF101" s="46">
        <v>267</v>
      </c>
      <c r="EG101" s="46">
        <v>218</v>
      </c>
      <c r="EH101" s="46">
        <v>226</v>
      </c>
      <c r="EI101" s="46">
        <v>274</v>
      </c>
      <c r="EJ101" s="46">
        <v>534</v>
      </c>
      <c r="EK101" s="46">
        <v>554</v>
      </c>
      <c r="EL101" s="46">
        <v>459</v>
      </c>
      <c r="EM101" s="46">
        <v>483</v>
      </c>
      <c r="EN101" s="46">
        <v>464</v>
      </c>
      <c r="EO101" s="46">
        <v>437</v>
      </c>
      <c r="EP101" s="46">
        <v>458</v>
      </c>
      <c r="EQ101" s="46">
        <v>439</v>
      </c>
      <c r="ER101" s="46">
        <v>599</v>
      </c>
      <c r="ES101" s="46">
        <v>440</v>
      </c>
      <c r="ET101" s="46">
        <v>718</v>
      </c>
      <c r="EU101" s="46">
        <v>1547</v>
      </c>
      <c r="EV101" s="46">
        <v>1384</v>
      </c>
      <c r="EW101" s="46">
        <v>1496</v>
      </c>
      <c r="EX101" s="71">
        <v>1158.9770832692484</v>
      </c>
      <c r="EY101" s="71">
        <v>1190.4550739795134</v>
      </c>
      <c r="EZ101" s="71">
        <v>1221.9330646897781</v>
      </c>
      <c r="FA101" s="71">
        <v>1253.4110554000431</v>
      </c>
      <c r="FB101" s="71">
        <v>1284.8890461103078</v>
      </c>
      <c r="FC101" s="71">
        <v>1316.3670368205726</v>
      </c>
      <c r="FD101" s="71">
        <v>1347.8450275308378</v>
      </c>
      <c r="FE101" s="71">
        <v>1379.3230182411023</v>
      </c>
      <c r="FF101" s="72">
        <v>256589</v>
      </c>
      <c r="FG101" s="72">
        <v>258026</v>
      </c>
      <c r="FH101" s="476">
        <v>259175</v>
      </c>
      <c r="FI101" s="476">
        <v>260354.747</v>
      </c>
      <c r="FJ101" s="476">
        <v>261315.05499999999</v>
      </c>
      <c r="FK101" s="476">
        <v>262277.96999999997</v>
      </c>
    </row>
    <row r="102" spans="1:167">
      <c r="A102" s="73" t="s">
        <v>915</v>
      </c>
      <c r="B102" s="19" t="s">
        <v>916</v>
      </c>
      <c r="C102" s="74" t="s">
        <v>747</v>
      </c>
      <c r="D102" s="75" t="s">
        <v>357</v>
      </c>
      <c r="E102" s="76">
        <v>235</v>
      </c>
      <c r="F102" s="77">
        <v>240</v>
      </c>
      <c r="G102" s="410">
        <v>215</v>
      </c>
      <c r="H102" s="78">
        <v>27560</v>
      </c>
      <c r="I102" s="77">
        <v>28480</v>
      </c>
      <c r="J102" s="410">
        <v>28981</v>
      </c>
      <c r="K102" s="410">
        <v>29486.730999999992</v>
      </c>
      <c r="L102" s="418">
        <v>29920.294999999998</v>
      </c>
      <c r="M102" s="79">
        <v>856.3</v>
      </c>
      <c r="N102" s="80">
        <v>849.7</v>
      </c>
      <c r="O102" s="421">
        <v>747.9</v>
      </c>
      <c r="P102" s="71">
        <v>247</v>
      </c>
      <c r="Q102" s="75" t="s">
        <v>357</v>
      </c>
      <c r="R102" s="81">
        <v>85</v>
      </c>
      <c r="S102" s="77">
        <v>150</v>
      </c>
      <c r="T102" s="452">
        <v>80</v>
      </c>
      <c r="U102" s="77">
        <v>120</v>
      </c>
      <c r="V102" s="77">
        <v>210</v>
      </c>
      <c r="W102" s="452">
        <v>100</v>
      </c>
      <c r="X102" s="82">
        <v>70.5</v>
      </c>
      <c r="Y102" s="83">
        <v>71.599999999999994</v>
      </c>
      <c r="Z102" s="443">
        <v>81.8</v>
      </c>
      <c r="AA102" s="63">
        <v>229</v>
      </c>
      <c r="AB102" s="63">
        <v>300</v>
      </c>
      <c r="AC102" s="19" t="s">
        <v>357</v>
      </c>
      <c r="AD102" s="84">
        <v>419</v>
      </c>
      <c r="AE102" s="85">
        <v>457</v>
      </c>
      <c r="AF102" s="85">
        <v>463</v>
      </c>
      <c r="AG102" s="85">
        <v>547</v>
      </c>
      <c r="AH102" s="85">
        <v>355</v>
      </c>
      <c r="AI102" s="85">
        <v>438</v>
      </c>
      <c r="AJ102" s="85">
        <v>284</v>
      </c>
      <c r="AK102" s="85">
        <v>342</v>
      </c>
      <c r="AL102" s="96">
        <v>130</v>
      </c>
      <c r="AM102" s="96">
        <v>126</v>
      </c>
      <c r="AN102" s="96">
        <v>159</v>
      </c>
      <c r="AO102" s="96">
        <v>86</v>
      </c>
      <c r="AP102" s="96">
        <v>184</v>
      </c>
      <c r="AQ102" s="96">
        <v>246</v>
      </c>
      <c r="AR102" s="96">
        <v>300</v>
      </c>
      <c r="AS102" s="96">
        <v>270</v>
      </c>
      <c r="AT102" s="96">
        <v>201</v>
      </c>
      <c r="AU102" s="96">
        <v>150</v>
      </c>
      <c r="AV102" s="96">
        <v>204</v>
      </c>
      <c r="AW102" s="96">
        <v>135</v>
      </c>
      <c r="AX102" s="97">
        <v>221</v>
      </c>
      <c r="AY102" s="97">
        <v>238</v>
      </c>
      <c r="AZ102" s="97">
        <v>123</v>
      </c>
      <c r="BA102" s="97">
        <v>108</v>
      </c>
      <c r="BB102" s="97">
        <v>165</v>
      </c>
      <c r="BC102" s="97">
        <v>150</v>
      </c>
      <c r="BD102" s="87">
        <v>78</v>
      </c>
      <c r="BE102" s="87">
        <v>113</v>
      </c>
      <c r="BF102" s="87">
        <v>69</v>
      </c>
      <c r="BG102" s="87">
        <v>159</v>
      </c>
      <c r="BH102" s="87">
        <v>86</v>
      </c>
      <c r="BI102" s="87">
        <v>103</v>
      </c>
      <c r="BJ102" s="87">
        <v>85</v>
      </c>
      <c r="BK102" s="87">
        <v>151</v>
      </c>
      <c r="BL102" s="87">
        <v>56</v>
      </c>
      <c r="BM102" s="87">
        <v>121</v>
      </c>
      <c r="BN102" s="87">
        <v>179</v>
      </c>
      <c r="BO102" s="87">
        <v>258</v>
      </c>
      <c r="BP102" s="87">
        <v>267</v>
      </c>
      <c r="BQ102" s="87">
        <v>176</v>
      </c>
      <c r="BR102" s="96">
        <v>117</v>
      </c>
      <c r="BS102" s="96">
        <v>103</v>
      </c>
      <c r="BT102" s="96">
        <v>81</v>
      </c>
      <c r="BU102" s="96">
        <v>63</v>
      </c>
      <c r="BV102" s="67">
        <v>292</v>
      </c>
      <c r="BW102" s="67">
        <v>558</v>
      </c>
      <c r="BX102" s="67">
        <v>560</v>
      </c>
      <c r="BY102" s="67">
        <v>247</v>
      </c>
      <c r="BZ102" s="68">
        <v>142.59661733615224</v>
      </c>
      <c r="CA102" s="68">
        <v>84.500634249471432</v>
      </c>
      <c r="CB102" s="68">
        <v>26.404651162790799</v>
      </c>
      <c r="CC102" s="68">
        <v>0</v>
      </c>
      <c r="CD102" s="68">
        <v>0</v>
      </c>
      <c r="CE102" s="68">
        <v>0</v>
      </c>
      <c r="CF102" s="68">
        <v>0</v>
      </c>
      <c r="CG102" s="68">
        <v>0</v>
      </c>
      <c r="CH102" s="87">
        <v>164400</v>
      </c>
      <c r="CI102" s="467">
        <v>164660</v>
      </c>
      <c r="CJ102" s="467">
        <v>167223.07200000001</v>
      </c>
      <c r="CK102" s="467">
        <v>168437.182</v>
      </c>
      <c r="CL102" s="468">
        <v>169697.33200000005</v>
      </c>
      <c r="CM102" s="19" t="s">
        <v>357</v>
      </c>
      <c r="CN102" s="70">
        <v>357</v>
      </c>
      <c r="CO102" s="70">
        <v>339</v>
      </c>
      <c r="CP102" s="70">
        <v>361</v>
      </c>
      <c r="CQ102" s="70">
        <v>338</v>
      </c>
      <c r="CR102" s="70">
        <v>297</v>
      </c>
      <c r="CS102" s="70">
        <v>323</v>
      </c>
      <c r="CT102" s="70">
        <v>354</v>
      </c>
      <c r="CU102" s="70">
        <v>357</v>
      </c>
      <c r="CV102" s="70">
        <v>432</v>
      </c>
      <c r="CW102" s="70">
        <v>342</v>
      </c>
      <c r="CX102" s="70">
        <v>329</v>
      </c>
      <c r="CY102" s="70">
        <v>321</v>
      </c>
      <c r="CZ102" s="70">
        <v>291</v>
      </c>
      <c r="DA102" s="70">
        <v>256</v>
      </c>
      <c r="DB102" s="70">
        <v>260</v>
      </c>
      <c r="DC102" s="70">
        <v>238</v>
      </c>
      <c r="DD102" s="70">
        <v>223</v>
      </c>
      <c r="DE102" s="70">
        <v>272</v>
      </c>
      <c r="DF102" s="70">
        <v>302</v>
      </c>
      <c r="DG102" s="70">
        <v>309</v>
      </c>
      <c r="DH102" s="70">
        <v>439</v>
      </c>
      <c r="DI102" s="70">
        <v>320</v>
      </c>
      <c r="DJ102" s="70">
        <v>334</v>
      </c>
      <c r="DK102" s="70">
        <v>360</v>
      </c>
      <c r="DL102" s="46">
        <v>324</v>
      </c>
      <c r="DM102" s="46">
        <v>283</v>
      </c>
      <c r="DN102" s="46">
        <v>261</v>
      </c>
      <c r="DO102" s="46">
        <v>279</v>
      </c>
      <c r="DP102" s="46">
        <v>263</v>
      </c>
      <c r="DQ102" s="46">
        <v>245</v>
      </c>
      <c r="DR102" s="46">
        <v>277</v>
      </c>
      <c r="DS102" s="46">
        <v>311</v>
      </c>
      <c r="DT102" s="46">
        <v>380</v>
      </c>
      <c r="DU102" s="46">
        <v>284</v>
      </c>
      <c r="DV102" s="46">
        <v>304</v>
      </c>
      <c r="DW102" s="46">
        <v>270</v>
      </c>
      <c r="DX102" s="46">
        <v>243</v>
      </c>
      <c r="DY102" s="46">
        <v>222</v>
      </c>
      <c r="DZ102" s="46">
        <v>210</v>
      </c>
      <c r="EA102" s="46">
        <v>256</v>
      </c>
      <c r="EB102" s="46">
        <v>198</v>
      </c>
      <c r="EC102" s="46">
        <v>230</v>
      </c>
      <c r="ED102" s="46">
        <v>220</v>
      </c>
      <c r="EE102" s="46">
        <v>294</v>
      </c>
      <c r="EF102" s="46">
        <v>339</v>
      </c>
      <c r="EG102" s="46">
        <v>216</v>
      </c>
      <c r="EH102" s="46">
        <v>197</v>
      </c>
      <c r="EI102" s="46">
        <v>237</v>
      </c>
      <c r="EJ102" s="46">
        <v>278</v>
      </c>
      <c r="EK102" s="46">
        <v>201</v>
      </c>
      <c r="EL102" s="46">
        <v>172</v>
      </c>
      <c r="EM102" s="46">
        <v>203</v>
      </c>
      <c r="EN102" s="46">
        <v>175</v>
      </c>
      <c r="EO102" s="46">
        <v>209</v>
      </c>
      <c r="EP102" s="46">
        <v>249</v>
      </c>
      <c r="EQ102" s="46">
        <v>287</v>
      </c>
      <c r="ER102" s="46">
        <v>296</v>
      </c>
      <c r="ES102" s="46">
        <v>247</v>
      </c>
      <c r="ET102" s="46">
        <v>650</v>
      </c>
      <c r="EU102" s="46">
        <v>651</v>
      </c>
      <c r="EV102" s="46">
        <v>587</v>
      </c>
      <c r="EW102" s="46">
        <v>832</v>
      </c>
      <c r="EX102" s="71">
        <v>632.01608785259464</v>
      </c>
      <c r="EY102" s="71">
        <v>611.98680365437269</v>
      </c>
      <c r="EZ102" s="71">
        <v>591.95751945615064</v>
      </c>
      <c r="FA102" s="71">
        <v>571.92823525792858</v>
      </c>
      <c r="FB102" s="71">
        <v>551.89895105970663</v>
      </c>
      <c r="FC102" s="71">
        <v>531.86966686148457</v>
      </c>
      <c r="FD102" s="71">
        <v>511.84038266326252</v>
      </c>
      <c r="FE102" s="71">
        <v>491.81109846504046</v>
      </c>
      <c r="FF102" s="72">
        <v>205433</v>
      </c>
      <c r="FG102" s="72">
        <v>206836</v>
      </c>
      <c r="FH102" s="476">
        <v>207460</v>
      </c>
      <c r="FI102" s="476">
        <v>210054.69500000001</v>
      </c>
      <c r="FJ102" s="476">
        <v>211516.71799999999</v>
      </c>
      <c r="FK102" s="476">
        <v>213011.845</v>
      </c>
    </row>
    <row r="103" spans="1:167">
      <c r="A103" s="73" t="s">
        <v>918</v>
      </c>
      <c r="B103" s="19" t="s">
        <v>919</v>
      </c>
      <c r="C103" s="74" t="s">
        <v>748</v>
      </c>
      <c r="D103" s="75" t="s">
        <v>360</v>
      </c>
      <c r="E103" s="76">
        <v>140</v>
      </c>
      <c r="F103" s="77">
        <v>170</v>
      </c>
      <c r="G103" s="410">
        <v>115</v>
      </c>
      <c r="H103" s="78">
        <v>17905</v>
      </c>
      <c r="I103" s="77">
        <v>18470</v>
      </c>
      <c r="J103" s="410">
        <v>18840</v>
      </c>
      <c r="K103" s="410">
        <v>19249.667999999994</v>
      </c>
      <c r="L103" s="418">
        <v>19537.066999999999</v>
      </c>
      <c r="M103" s="79">
        <v>776.4</v>
      </c>
      <c r="N103" s="80">
        <v>931.3</v>
      </c>
      <c r="O103" s="421">
        <v>633.5</v>
      </c>
      <c r="P103" s="71">
        <v>158</v>
      </c>
      <c r="Q103" s="75" t="s">
        <v>360</v>
      </c>
      <c r="R103" s="81">
        <v>110</v>
      </c>
      <c r="S103" s="77">
        <v>60</v>
      </c>
      <c r="T103" s="452">
        <v>80</v>
      </c>
      <c r="U103" s="77">
        <v>125</v>
      </c>
      <c r="V103" s="77">
        <v>70</v>
      </c>
      <c r="W103" s="452">
        <v>90</v>
      </c>
      <c r="X103" s="82">
        <v>87.2</v>
      </c>
      <c r="Y103" s="83">
        <v>84.5</v>
      </c>
      <c r="Z103" s="443">
        <v>87.8</v>
      </c>
      <c r="AA103" s="63">
        <v>66</v>
      </c>
      <c r="AB103" s="63">
        <v>70</v>
      </c>
      <c r="AC103" s="19" t="s">
        <v>360</v>
      </c>
      <c r="AD103" s="84">
        <v>234</v>
      </c>
      <c r="AE103" s="85">
        <v>454</v>
      </c>
      <c r="AF103" s="85">
        <v>315</v>
      </c>
      <c r="AG103" s="85">
        <v>272</v>
      </c>
      <c r="AH103" s="85">
        <v>233</v>
      </c>
      <c r="AI103" s="85">
        <v>295</v>
      </c>
      <c r="AJ103" s="85">
        <v>229</v>
      </c>
      <c r="AK103" s="85">
        <v>304</v>
      </c>
      <c r="AL103" s="96">
        <v>311</v>
      </c>
      <c r="AM103" s="96">
        <v>274</v>
      </c>
      <c r="AN103" s="96">
        <v>238</v>
      </c>
      <c r="AO103" s="96">
        <v>346</v>
      </c>
      <c r="AP103" s="96">
        <v>362</v>
      </c>
      <c r="AQ103" s="96">
        <v>203</v>
      </c>
      <c r="AR103" s="96">
        <v>219</v>
      </c>
      <c r="AS103" s="96">
        <v>182</v>
      </c>
      <c r="AT103" s="96">
        <v>248</v>
      </c>
      <c r="AU103" s="96">
        <v>311</v>
      </c>
      <c r="AV103" s="96">
        <v>171</v>
      </c>
      <c r="AW103" s="96">
        <v>293</v>
      </c>
      <c r="AX103" s="97">
        <v>166</v>
      </c>
      <c r="AY103" s="97">
        <v>218</v>
      </c>
      <c r="AZ103" s="97">
        <v>165</v>
      </c>
      <c r="BA103" s="97">
        <v>236</v>
      </c>
      <c r="BB103" s="97">
        <v>147</v>
      </c>
      <c r="BC103" s="97">
        <v>204</v>
      </c>
      <c r="BD103" s="87">
        <v>112</v>
      </c>
      <c r="BE103" s="87">
        <v>195</v>
      </c>
      <c r="BF103" s="87">
        <v>227</v>
      </c>
      <c r="BG103" s="87">
        <v>264</v>
      </c>
      <c r="BH103" s="87">
        <v>149</v>
      </c>
      <c r="BI103" s="87">
        <v>195</v>
      </c>
      <c r="BJ103" s="87">
        <v>257</v>
      </c>
      <c r="BK103" s="87">
        <v>312</v>
      </c>
      <c r="BL103" s="87">
        <v>295</v>
      </c>
      <c r="BM103" s="87">
        <v>308</v>
      </c>
      <c r="BN103" s="87">
        <v>270</v>
      </c>
      <c r="BO103" s="87">
        <v>227</v>
      </c>
      <c r="BP103" s="87">
        <v>264</v>
      </c>
      <c r="BQ103" s="87">
        <v>442</v>
      </c>
      <c r="BR103" s="96">
        <v>333</v>
      </c>
      <c r="BS103" s="96">
        <v>575</v>
      </c>
      <c r="BT103" s="96">
        <v>334</v>
      </c>
      <c r="BU103" s="96">
        <v>293</v>
      </c>
      <c r="BV103" s="67">
        <v>864</v>
      </c>
      <c r="BW103" s="67">
        <v>805</v>
      </c>
      <c r="BX103" s="67">
        <v>1039</v>
      </c>
      <c r="BY103" s="67">
        <v>1202</v>
      </c>
      <c r="BZ103" s="68">
        <v>846.12325581395339</v>
      </c>
      <c r="CA103" s="68">
        <v>852.45813953488368</v>
      </c>
      <c r="CB103" s="68">
        <v>858.79302325581398</v>
      </c>
      <c r="CC103" s="68">
        <v>865.12790697674404</v>
      </c>
      <c r="CD103" s="68">
        <v>871.46279069767434</v>
      </c>
      <c r="CE103" s="68">
        <v>877.79767441860463</v>
      </c>
      <c r="CF103" s="68">
        <v>884.13255813953481</v>
      </c>
      <c r="CG103" s="68">
        <v>890.4674418604651</v>
      </c>
      <c r="CH103" s="87">
        <v>122900</v>
      </c>
      <c r="CI103" s="467">
        <v>124171</v>
      </c>
      <c r="CJ103" s="467">
        <v>123838.17999999995</v>
      </c>
      <c r="CK103" s="467">
        <v>124415.05900000002</v>
      </c>
      <c r="CL103" s="468">
        <v>124970.53</v>
      </c>
      <c r="CM103" s="19" t="s">
        <v>360</v>
      </c>
      <c r="CN103" s="70">
        <v>240</v>
      </c>
      <c r="CO103" s="70">
        <v>220</v>
      </c>
      <c r="CP103" s="70">
        <v>173</v>
      </c>
      <c r="CQ103" s="70">
        <v>181</v>
      </c>
      <c r="CR103" s="70">
        <v>176</v>
      </c>
      <c r="CS103" s="70">
        <v>188</v>
      </c>
      <c r="CT103" s="70">
        <v>209</v>
      </c>
      <c r="CU103" s="70">
        <v>257</v>
      </c>
      <c r="CV103" s="70">
        <v>283</v>
      </c>
      <c r="CW103" s="70">
        <v>255</v>
      </c>
      <c r="CX103" s="70">
        <v>194</v>
      </c>
      <c r="CY103" s="70">
        <v>226</v>
      </c>
      <c r="CZ103" s="70">
        <v>245</v>
      </c>
      <c r="DA103" s="70">
        <v>234</v>
      </c>
      <c r="DB103" s="70">
        <v>202</v>
      </c>
      <c r="DC103" s="70">
        <v>201</v>
      </c>
      <c r="DD103" s="70">
        <v>186</v>
      </c>
      <c r="DE103" s="70">
        <v>190</v>
      </c>
      <c r="DF103" s="70">
        <v>203</v>
      </c>
      <c r="DG103" s="70">
        <v>191</v>
      </c>
      <c r="DH103" s="70">
        <v>308</v>
      </c>
      <c r="DI103" s="70">
        <v>277</v>
      </c>
      <c r="DJ103" s="70">
        <v>238</v>
      </c>
      <c r="DK103" s="70">
        <v>243</v>
      </c>
      <c r="DL103" s="46">
        <v>232</v>
      </c>
      <c r="DM103" s="46">
        <v>231</v>
      </c>
      <c r="DN103" s="46">
        <v>186</v>
      </c>
      <c r="DO103" s="46">
        <v>173</v>
      </c>
      <c r="DP103" s="46">
        <v>165</v>
      </c>
      <c r="DQ103" s="46">
        <v>175</v>
      </c>
      <c r="DR103" s="46">
        <v>188</v>
      </c>
      <c r="DS103" s="46">
        <v>198</v>
      </c>
      <c r="DT103" s="46">
        <v>225</v>
      </c>
      <c r="DU103" s="46">
        <v>212</v>
      </c>
      <c r="DV103" s="46">
        <v>240</v>
      </c>
      <c r="DW103" s="46">
        <v>185</v>
      </c>
      <c r="DX103" s="46">
        <v>177</v>
      </c>
      <c r="DY103" s="46">
        <v>212</v>
      </c>
      <c r="DZ103" s="46">
        <v>171</v>
      </c>
      <c r="EA103" s="46">
        <v>218</v>
      </c>
      <c r="EB103" s="46">
        <v>172</v>
      </c>
      <c r="EC103" s="46">
        <v>189</v>
      </c>
      <c r="ED103" s="46">
        <v>203</v>
      </c>
      <c r="EE103" s="46">
        <v>241</v>
      </c>
      <c r="EF103" s="46">
        <v>249</v>
      </c>
      <c r="EG103" s="46">
        <v>216</v>
      </c>
      <c r="EH103" s="46">
        <v>223</v>
      </c>
      <c r="EI103" s="46">
        <v>219</v>
      </c>
      <c r="EJ103" s="46">
        <v>228</v>
      </c>
      <c r="EK103" s="46">
        <v>212</v>
      </c>
      <c r="EL103" s="46">
        <v>217</v>
      </c>
      <c r="EM103" s="46">
        <v>211</v>
      </c>
      <c r="EN103" s="46">
        <v>198</v>
      </c>
      <c r="EO103" s="46">
        <v>190</v>
      </c>
      <c r="EP103" s="46">
        <v>224</v>
      </c>
      <c r="EQ103" s="46">
        <v>240</v>
      </c>
      <c r="ER103" s="46">
        <v>247</v>
      </c>
      <c r="ES103" s="46">
        <v>187</v>
      </c>
      <c r="ET103" s="46">
        <v>658</v>
      </c>
      <c r="EU103" s="46">
        <v>657</v>
      </c>
      <c r="EV103" s="46">
        <v>599</v>
      </c>
      <c r="EW103" s="46">
        <v>711</v>
      </c>
      <c r="EX103" s="71">
        <v>630.79104248054387</v>
      </c>
      <c r="EY103" s="71">
        <v>629.93780183949059</v>
      </c>
      <c r="EZ103" s="71">
        <v>629.08456119843731</v>
      </c>
      <c r="FA103" s="71">
        <v>628.23132055738415</v>
      </c>
      <c r="FB103" s="71">
        <v>627.37807991633088</v>
      </c>
      <c r="FC103" s="71">
        <v>626.5248392752776</v>
      </c>
      <c r="FD103" s="71">
        <v>625.67159863422432</v>
      </c>
      <c r="FE103" s="71">
        <v>624.81835799317105</v>
      </c>
      <c r="FF103" s="72">
        <v>155339</v>
      </c>
      <c r="FG103" s="72">
        <v>157112</v>
      </c>
      <c r="FH103" s="476">
        <v>159247</v>
      </c>
      <c r="FI103" s="476">
        <v>158834.223</v>
      </c>
      <c r="FJ103" s="476">
        <v>159764.003</v>
      </c>
      <c r="FK103" s="476">
        <v>160697.87100000001</v>
      </c>
    </row>
    <row r="104" spans="1:167">
      <c r="A104" s="73" t="s">
        <v>899</v>
      </c>
      <c r="B104" s="19" t="s">
        <v>900</v>
      </c>
      <c r="C104" s="74" t="s">
        <v>749</v>
      </c>
      <c r="D104" s="75" t="s">
        <v>363</v>
      </c>
      <c r="E104" s="76">
        <v>85</v>
      </c>
      <c r="F104" s="77">
        <v>110</v>
      </c>
      <c r="G104" s="410">
        <v>115</v>
      </c>
      <c r="H104" s="78">
        <v>33575</v>
      </c>
      <c r="I104" s="77">
        <v>34365</v>
      </c>
      <c r="J104" s="410">
        <v>35016</v>
      </c>
      <c r="K104" s="410">
        <v>35551.450000000004</v>
      </c>
      <c r="L104" s="418">
        <v>36230.370000000003</v>
      </c>
      <c r="M104" s="79">
        <v>259.10000000000002</v>
      </c>
      <c r="N104" s="80">
        <v>323</v>
      </c>
      <c r="O104" s="421">
        <v>337.6</v>
      </c>
      <c r="P104" s="71">
        <v>90</v>
      </c>
      <c r="Q104" s="75" t="s">
        <v>363</v>
      </c>
      <c r="R104" s="81">
        <v>200</v>
      </c>
      <c r="S104" s="77">
        <v>265</v>
      </c>
      <c r="T104" s="452">
        <v>190</v>
      </c>
      <c r="U104" s="77">
        <v>290</v>
      </c>
      <c r="V104" s="77">
        <v>325</v>
      </c>
      <c r="W104" s="452">
        <v>235</v>
      </c>
      <c r="X104" s="82">
        <v>69.7</v>
      </c>
      <c r="Y104" s="83">
        <v>81.5</v>
      </c>
      <c r="Z104" s="443">
        <v>81</v>
      </c>
      <c r="AA104" s="63">
        <v>292</v>
      </c>
      <c r="AB104" s="63">
        <v>338</v>
      </c>
      <c r="AC104" s="19" t="s">
        <v>363</v>
      </c>
      <c r="AD104" s="84">
        <v>392</v>
      </c>
      <c r="AE104" s="85">
        <v>443</v>
      </c>
      <c r="AF104" s="85">
        <v>502</v>
      </c>
      <c r="AG104" s="85">
        <v>265</v>
      </c>
      <c r="AH104" s="85">
        <v>309</v>
      </c>
      <c r="AI104" s="85">
        <v>153</v>
      </c>
      <c r="AJ104" s="85">
        <v>253</v>
      </c>
      <c r="AK104" s="85">
        <v>439</v>
      </c>
      <c r="AL104" s="96">
        <v>540</v>
      </c>
      <c r="AM104" s="96">
        <v>373</v>
      </c>
      <c r="AN104" s="96">
        <v>414</v>
      </c>
      <c r="AO104" s="96">
        <v>471</v>
      </c>
      <c r="AP104" s="96">
        <v>398</v>
      </c>
      <c r="AQ104" s="96">
        <v>496</v>
      </c>
      <c r="AR104" s="96">
        <v>392</v>
      </c>
      <c r="AS104" s="96">
        <v>394</v>
      </c>
      <c r="AT104" s="96">
        <v>318</v>
      </c>
      <c r="AU104" s="96">
        <v>1108</v>
      </c>
      <c r="AV104" s="96">
        <v>529</v>
      </c>
      <c r="AW104" s="96">
        <v>683</v>
      </c>
      <c r="AX104" s="97">
        <v>404</v>
      </c>
      <c r="AY104" s="97">
        <v>467</v>
      </c>
      <c r="AZ104" s="97">
        <v>489</v>
      </c>
      <c r="BA104" s="97">
        <v>416</v>
      </c>
      <c r="BB104" s="97">
        <v>512</v>
      </c>
      <c r="BC104" s="97">
        <v>421</v>
      </c>
      <c r="BD104" s="87">
        <v>397</v>
      </c>
      <c r="BE104" s="87">
        <v>428</v>
      </c>
      <c r="BF104" s="87">
        <v>372</v>
      </c>
      <c r="BG104" s="87">
        <v>227</v>
      </c>
      <c r="BH104" s="87">
        <v>342</v>
      </c>
      <c r="BI104" s="87">
        <v>296</v>
      </c>
      <c r="BJ104" s="87">
        <v>252</v>
      </c>
      <c r="BK104" s="87">
        <v>446</v>
      </c>
      <c r="BL104" s="87">
        <v>194</v>
      </c>
      <c r="BM104" s="87">
        <v>120</v>
      </c>
      <c r="BN104" s="87">
        <v>319</v>
      </c>
      <c r="BO104" s="87">
        <v>315</v>
      </c>
      <c r="BP104" s="87">
        <v>205</v>
      </c>
      <c r="BQ104" s="87">
        <v>504</v>
      </c>
      <c r="BR104" s="96">
        <v>374</v>
      </c>
      <c r="BS104" s="96">
        <v>525</v>
      </c>
      <c r="BT104" s="96">
        <v>330</v>
      </c>
      <c r="BU104" s="96">
        <v>221</v>
      </c>
      <c r="BV104" s="67">
        <v>892</v>
      </c>
      <c r="BW104" s="67">
        <v>754</v>
      </c>
      <c r="BX104" s="67">
        <v>1083</v>
      </c>
      <c r="BY104" s="67">
        <v>1076</v>
      </c>
      <c r="BZ104" s="68">
        <v>1021.6585623678649</v>
      </c>
      <c r="CA104" s="68">
        <v>1000.2145877378437</v>
      </c>
      <c r="CB104" s="68">
        <v>978.77061310782256</v>
      </c>
      <c r="CC104" s="68">
        <v>957.32663847780123</v>
      </c>
      <c r="CD104" s="68">
        <v>935.88266384778012</v>
      </c>
      <c r="CE104" s="68">
        <v>914.43868921775902</v>
      </c>
      <c r="CF104" s="68">
        <v>892.99471458773792</v>
      </c>
      <c r="CG104" s="68">
        <v>871.55073995771681</v>
      </c>
      <c r="CH104" s="87">
        <v>212700</v>
      </c>
      <c r="CI104" s="467">
        <v>215220</v>
      </c>
      <c r="CJ104" s="467">
        <v>220330.80999999991</v>
      </c>
      <c r="CK104" s="467">
        <v>224279.08099999998</v>
      </c>
      <c r="CL104" s="468">
        <v>228122.86399999997</v>
      </c>
      <c r="CM104" s="19" t="s">
        <v>363</v>
      </c>
      <c r="CN104" s="70">
        <v>368</v>
      </c>
      <c r="CO104" s="70">
        <v>405</v>
      </c>
      <c r="CP104" s="70">
        <v>384</v>
      </c>
      <c r="CQ104" s="70">
        <v>391</v>
      </c>
      <c r="CR104" s="70">
        <v>363</v>
      </c>
      <c r="CS104" s="70">
        <v>376</v>
      </c>
      <c r="CT104" s="70">
        <v>444</v>
      </c>
      <c r="CU104" s="70">
        <v>443</v>
      </c>
      <c r="CV104" s="70">
        <v>433</v>
      </c>
      <c r="CW104" s="70">
        <v>395</v>
      </c>
      <c r="CX104" s="70">
        <v>379</v>
      </c>
      <c r="CY104" s="70">
        <v>401</v>
      </c>
      <c r="CZ104" s="70">
        <v>399</v>
      </c>
      <c r="DA104" s="70">
        <v>430</v>
      </c>
      <c r="DB104" s="70">
        <v>394</v>
      </c>
      <c r="DC104" s="70">
        <v>391</v>
      </c>
      <c r="DD104" s="70">
        <v>384</v>
      </c>
      <c r="DE104" s="70">
        <v>421</v>
      </c>
      <c r="DF104" s="70">
        <v>416</v>
      </c>
      <c r="DG104" s="70">
        <v>450</v>
      </c>
      <c r="DH104" s="70">
        <v>473</v>
      </c>
      <c r="DI104" s="70">
        <v>457</v>
      </c>
      <c r="DJ104" s="70">
        <v>416</v>
      </c>
      <c r="DK104" s="70">
        <v>452</v>
      </c>
      <c r="DL104" s="46">
        <v>456</v>
      </c>
      <c r="DM104" s="46">
        <v>469</v>
      </c>
      <c r="DN104" s="46">
        <v>443</v>
      </c>
      <c r="DO104" s="46">
        <v>443</v>
      </c>
      <c r="DP104" s="46">
        <v>411</v>
      </c>
      <c r="DQ104" s="46">
        <v>459</v>
      </c>
      <c r="DR104" s="46">
        <v>496</v>
      </c>
      <c r="DS104" s="46">
        <v>456</v>
      </c>
      <c r="DT104" s="46">
        <v>477</v>
      </c>
      <c r="DU104" s="46">
        <v>494</v>
      </c>
      <c r="DV104" s="46">
        <v>412</v>
      </c>
      <c r="DW104" s="46">
        <v>455</v>
      </c>
      <c r="DX104" s="46">
        <v>464</v>
      </c>
      <c r="DY104" s="46">
        <v>496</v>
      </c>
      <c r="DZ104" s="46">
        <v>447</v>
      </c>
      <c r="EA104" s="46">
        <v>480</v>
      </c>
      <c r="EB104" s="46">
        <v>409</v>
      </c>
      <c r="EC104" s="46">
        <v>436</v>
      </c>
      <c r="ED104" s="46">
        <v>461</v>
      </c>
      <c r="EE104" s="46">
        <v>482</v>
      </c>
      <c r="EF104" s="46">
        <v>532</v>
      </c>
      <c r="EG104" s="46">
        <v>482</v>
      </c>
      <c r="EH104" s="46">
        <v>473</v>
      </c>
      <c r="EI104" s="46">
        <v>472</v>
      </c>
      <c r="EJ104" s="46">
        <v>487</v>
      </c>
      <c r="EK104" s="46">
        <v>456</v>
      </c>
      <c r="EL104" s="46">
        <v>402</v>
      </c>
      <c r="EM104" s="46">
        <v>463</v>
      </c>
      <c r="EN104" s="46">
        <v>437</v>
      </c>
      <c r="EO104" s="46">
        <v>412</v>
      </c>
      <c r="EP104" s="46">
        <v>488</v>
      </c>
      <c r="EQ104" s="46">
        <v>445</v>
      </c>
      <c r="ER104" s="46">
        <v>491</v>
      </c>
      <c r="ES104" s="46">
        <v>461</v>
      </c>
      <c r="ET104" s="46">
        <v>1427</v>
      </c>
      <c r="EU104" s="46">
        <v>1345</v>
      </c>
      <c r="EV104" s="46">
        <v>1312</v>
      </c>
      <c r="EW104" s="46">
        <v>1424</v>
      </c>
      <c r="EX104" s="71">
        <v>1460.397213079455</v>
      </c>
      <c r="EY104" s="71">
        <v>1473.3951521117231</v>
      </c>
      <c r="EZ104" s="71">
        <v>1486.3930911439911</v>
      </c>
      <c r="FA104" s="71">
        <v>1499.3910301762589</v>
      </c>
      <c r="FB104" s="71">
        <v>1512.388969208527</v>
      </c>
      <c r="FC104" s="71">
        <v>1525.386908240795</v>
      </c>
      <c r="FD104" s="71">
        <v>1538.3848472730629</v>
      </c>
      <c r="FE104" s="71">
        <v>1551.3827863053311</v>
      </c>
      <c r="FF104" s="72">
        <v>281395</v>
      </c>
      <c r="FG104" s="72">
        <v>284617</v>
      </c>
      <c r="FH104" s="476">
        <v>288272</v>
      </c>
      <c r="FI104" s="476">
        <v>295093.53100000002</v>
      </c>
      <c r="FJ104" s="476">
        <v>300473.022</v>
      </c>
      <c r="FK104" s="476">
        <v>305979.49200000003</v>
      </c>
    </row>
    <row r="105" spans="1:167">
      <c r="A105" s="73" t="s">
        <v>935</v>
      </c>
      <c r="B105" s="19" t="s">
        <v>936</v>
      </c>
      <c r="C105" s="74" t="s">
        <v>750</v>
      </c>
      <c r="D105" s="75" t="s">
        <v>366</v>
      </c>
      <c r="E105" s="76">
        <v>245</v>
      </c>
      <c r="F105" s="77">
        <v>250</v>
      </c>
      <c r="G105" s="410">
        <v>215</v>
      </c>
      <c r="H105" s="78">
        <v>26425</v>
      </c>
      <c r="I105" s="77">
        <v>27395</v>
      </c>
      <c r="J105" s="410">
        <v>28019</v>
      </c>
      <c r="K105" s="410">
        <v>28698.743999999995</v>
      </c>
      <c r="L105" s="418">
        <v>29223.231</v>
      </c>
      <c r="M105" s="79">
        <v>923.4</v>
      </c>
      <c r="N105" s="80">
        <v>916.2</v>
      </c>
      <c r="O105" s="421">
        <v>784.8</v>
      </c>
      <c r="P105" s="71">
        <v>219</v>
      </c>
      <c r="Q105" s="75" t="s">
        <v>366</v>
      </c>
      <c r="R105" s="81">
        <v>25</v>
      </c>
      <c r="S105" s="77">
        <v>40</v>
      </c>
      <c r="T105" s="452">
        <v>65</v>
      </c>
      <c r="U105" s="77">
        <v>30</v>
      </c>
      <c r="V105" s="77">
        <v>40</v>
      </c>
      <c r="W105" s="452">
        <v>80</v>
      </c>
      <c r="X105" s="82">
        <v>90</v>
      </c>
      <c r="Y105" s="83">
        <v>97.6</v>
      </c>
      <c r="Z105" s="443">
        <v>80.8</v>
      </c>
      <c r="AA105" s="63">
        <v>43</v>
      </c>
      <c r="AB105" s="63">
        <v>51</v>
      </c>
      <c r="AC105" s="19" t="s">
        <v>366</v>
      </c>
      <c r="AD105" s="84">
        <v>234</v>
      </c>
      <c r="AE105" s="85">
        <v>271</v>
      </c>
      <c r="AF105" s="85">
        <v>485</v>
      </c>
      <c r="AG105" s="85">
        <v>490</v>
      </c>
      <c r="AH105" s="85">
        <v>433</v>
      </c>
      <c r="AI105" s="85">
        <v>390</v>
      </c>
      <c r="AJ105" s="85">
        <v>438</v>
      </c>
      <c r="AK105" s="85">
        <v>423</v>
      </c>
      <c r="AL105" s="96">
        <v>518</v>
      </c>
      <c r="AM105" s="96">
        <v>390</v>
      </c>
      <c r="AN105" s="96">
        <v>409</v>
      </c>
      <c r="AO105" s="96">
        <v>583</v>
      </c>
      <c r="AP105" s="96">
        <v>371</v>
      </c>
      <c r="AQ105" s="96">
        <v>513</v>
      </c>
      <c r="AR105" s="96">
        <v>589</v>
      </c>
      <c r="AS105" s="96">
        <v>747</v>
      </c>
      <c r="AT105" s="96">
        <v>527</v>
      </c>
      <c r="AU105" s="96">
        <v>445</v>
      </c>
      <c r="AV105" s="96">
        <v>642</v>
      </c>
      <c r="AW105" s="96">
        <v>526</v>
      </c>
      <c r="AX105" s="97">
        <v>503</v>
      </c>
      <c r="AY105" s="97">
        <v>626</v>
      </c>
      <c r="AZ105" s="97">
        <v>506</v>
      </c>
      <c r="BA105" s="97">
        <v>413</v>
      </c>
      <c r="BB105" s="97">
        <v>410</v>
      </c>
      <c r="BC105" s="97">
        <v>466</v>
      </c>
      <c r="BD105" s="87">
        <v>432</v>
      </c>
      <c r="BE105" s="87">
        <v>550</v>
      </c>
      <c r="BF105" s="87">
        <v>406</v>
      </c>
      <c r="BG105" s="87">
        <v>720</v>
      </c>
      <c r="BH105" s="87">
        <v>495</v>
      </c>
      <c r="BI105" s="87">
        <v>567</v>
      </c>
      <c r="BJ105" s="87">
        <v>314</v>
      </c>
      <c r="BK105" s="87">
        <v>355</v>
      </c>
      <c r="BL105" s="87">
        <v>570</v>
      </c>
      <c r="BM105" s="87">
        <v>548</v>
      </c>
      <c r="BN105" s="87">
        <v>403</v>
      </c>
      <c r="BO105" s="87">
        <v>427</v>
      </c>
      <c r="BP105" s="87">
        <v>414</v>
      </c>
      <c r="BQ105" s="87">
        <v>471</v>
      </c>
      <c r="BR105" s="96">
        <v>385</v>
      </c>
      <c r="BS105" s="96">
        <v>493</v>
      </c>
      <c r="BT105" s="96">
        <v>463</v>
      </c>
      <c r="BU105" s="96">
        <v>428</v>
      </c>
      <c r="BV105" s="67">
        <v>1239</v>
      </c>
      <c r="BW105" s="67">
        <v>1378</v>
      </c>
      <c r="BX105" s="67">
        <v>1270</v>
      </c>
      <c r="BY105" s="67">
        <v>1384</v>
      </c>
      <c r="BZ105" s="68">
        <v>1472.803382663848</v>
      </c>
      <c r="CA105" s="68">
        <v>1479.872093023256</v>
      </c>
      <c r="CB105" s="68">
        <v>1486.9408033826639</v>
      </c>
      <c r="CC105" s="68">
        <v>1494.0095137420719</v>
      </c>
      <c r="CD105" s="68">
        <v>1501.0782241014799</v>
      </c>
      <c r="CE105" s="68">
        <v>1508.1469344608881</v>
      </c>
      <c r="CF105" s="68">
        <v>1515.2156448202961</v>
      </c>
      <c r="CG105" s="68">
        <v>1522.2843551797041</v>
      </c>
      <c r="CH105" s="87">
        <v>107500</v>
      </c>
      <c r="CI105" s="467">
        <v>107472</v>
      </c>
      <c r="CJ105" s="467">
        <v>107610.97199999998</v>
      </c>
      <c r="CK105" s="467">
        <v>107715.249</v>
      </c>
      <c r="CL105" s="468">
        <v>107749.986</v>
      </c>
      <c r="CM105" s="19" t="s">
        <v>366</v>
      </c>
      <c r="CN105" s="70">
        <v>336</v>
      </c>
      <c r="CO105" s="70">
        <v>268</v>
      </c>
      <c r="CP105" s="70">
        <v>263</v>
      </c>
      <c r="CQ105" s="70">
        <v>282</v>
      </c>
      <c r="CR105" s="70">
        <v>250</v>
      </c>
      <c r="CS105" s="70">
        <v>285</v>
      </c>
      <c r="CT105" s="70">
        <v>344</v>
      </c>
      <c r="CU105" s="70">
        <v>330</v>
      </c>
      <c r="CV105" s="70">
        <v>386</v>
      </c>
      <c r="CW105" s="70">
        <v>303</v>
      </c>
      <c r="CX105" s="70">
        <v>294</v>
      </c>
      <c r="CY105" s="70">
        <v>308</v>
      </c>
      <c r="CZ105" s="70">
        <v>300</v>
      </c>
      <c r="DA105" s="70">
        <v>271</v>
      </c>
      <c r="DB105" s="70">
        <v>288</v>
      </c>
      <c r="DC105" s="70">
        <v>236</v>
      </c>
      <c r="DD105" s="70">
        <v>272</v>
      </c>
      <c r="DE105" s="70">
        <v>252</v>
      </c>
      <c r="DF105" s="70">
        <v>319</v>
      </c>
      <c r="DG105" s="70">
        <v>352</v>
      </c>
      <c r="DH105" s="70">
        <v>397</v>
      </c>
      <c r="DI105" s="70">
        <v>396</v>
      </c>
      <c r="DJ105" s="70">
        <v>323</v>
      </c>
      <c r="DK105" s="70">
        <v>372</v>
      </c>
      <c r="DL105" s="46">
        <v>317</v>
      </c>
      <c r="DM105" s="46">
        <v>299</v>
      </c>
      <c r="DN105" s="46">
        <v>290</v>
      </c>
      <c r="DO105" s="46">
        <v>265</v>
      </c>
      <c r="DP105" s="46">
        <v>296</v>
      </c>
      <c r="DQ105" s="46">
        <v>286</v>
      </c>
      <c r="DR105" s="46">
        <v>317</v>
      </c>
      <c r="DS105" s="46">
        <v>340</v>
      </c>
      <c r="DT105" s="46">
        <v>396</v>
      </c>
      <c r="DU105" s="46">
        <v>313</v>
      </c>
      <c r="DV105" s="46">
        <v>332</v>
      </c>
      <c r="DW105" s="46">
        <v>331</v>
      </c>
      <c r="DX105" s="46">
        <v>321</v>
      </c>
      <c r="DY105" s="46">
        <v>320</v>
      </c>
      <c r="DZ105" s="46">
        <v>316</v>
      </c>
      <c r="EA105" s="46">
        <v>334</v>
      </c>
      <c r="EB105" s="46">
        <v>322</v>
      </c>
      <c r="EC105" s="46">
        <v>318</v>
      </c>
      <c r="ED105" s="46">
        <v>329</v>
      </c>
      <c r="EE105" s="46">
        <v>325</v>
      </c>
      <c r="EF105" s="46">
        <v>443</v>
      </c>
      <c r="EG105" s="46">
        <v>352</v>
      </c>
      <c r="EH105" s="46">
        <v>302</v>
      </c>
      <c r="EI105" s="46">
        <v>336</v>
      </c>
      <c r="EJ105" s="46">
        <v>366</v>
      </c>
      <c r="EK105" s="46">
        <v>344</v>
      </c>
      <c r="EL105" s="46">
        <v>291</v>
      </c>
      <c r="EM105" s="46">
        <v>295</v>
      </c>
      <c r="EN105" s="46">
        <v>291</v>
      </c>
      <c r="EO105" s="46">
        <v>322</v>
      </c>
      <c r="EP105" s="46">
        <v>318</v>
      </c>
      <c r="EQ105" s="46">
        <v>413</v>
      </c>
      <c r="ER105" s="46">
        <v>403</v>
      </c>
      <c r="ES105" s="46">
        <v>358</v>
      </c>
      <c r="ET105" s="46">
        <v>990</v>
      </c>
      <c r="EU105" s="46">
        <v>1001</v>
      </c>
      <c r="EV105" s="46">
        <v>908</v>
      </c>
      <c r="EW105" s="46">
        <v>1134</v>
      </c>
      <c r="EX105" s="71">
        <v>1058.7828601310405</v>
      </c>
      <c r="EY105" s="71">
        <v>1067.5766095542772</v>
      </c>
      <c r="EZ105" s="71">
        <v>1076.3703589775139</v>
      </c>
      <c r="FA105" s="71">
        <v>1085.1641084007506</v>
      </c>
      <c r="FB105" s="71">
        <v>1093.9578578239871</v>
      </c>
      <c r="FC105" s="71">
        <v>1102.7516072472238</v>
      </c>
      <c r="FD105" s="71">
        <v>1111.5453566704605</v>
      </c>
      <c r="FE105" s="71">
        <v>1120.3391060936972</v>
      </c>
      <c r="FF105" s="72">
        <v>135164</v>
      </c>
      <c r="FG105" s="72">
        <v>134998</v>
      </c>
      <c r="FH105" s="476">
        <v>134945</v>
      </c>
      <c r="FI105" s="476">
        <v>134750.10999999999</v>
      </c>
      <c r="FJ105" s="476">
        <v>134740.378</v>
      </c>
      <c r="FK105" s="476">
        <v>134758.057</v>
      </c>
    </row>
    <row r="106" spans="1:167">
      <c r="A106" s="73" t="s">
        <v>907</v>
      </c>
      <c r="B106" s="19" t="s">
        <v>908</v>
      </c>
      <c r="C106" s="74" t="s">
        <v>751</v>
      </c>
      <c r="D106" s="75" t="s">
        <v>369</v>
      </c>
      <c r="E106" s="76">
        <v>105</v>
      </c>
      <c r="F106" s="77">
        <v>135</v>
      </c>
      <c r="G106" s="410">
        <v>115</v>
      </c>
      <c r="H106" s="78">
        <v>25500</v>
      </c>
      <c r="I106" s="77">
        <v>26590</v>
      </c>
      <c r="J106" s="410">
        <v>27465</v>
      </c>
      <c r="K106" s="410">
        <v>28247.316999999995</v>
      </c>
      <c r="L106" s="418">
        <v>28900.364000000005</v>
      </c>
      <c r="M106" s="79">
        <v>407.8</v>
      </c>
      <c r="N106" s="80">
        <v>503.9</v>
      </c>
      <c r="O106" s="421">
        <v>436.2</v>
      </c>
      <c r="P106" s="71">
        <v>105</v>
      </c>
      <c r="Q106" s="75" t="s">
        <v>369</v>
      </c>
      <c r="R106" s="81">
        <v>120</v>
      </c>
      <c r="S106" s="77">
        <v>110</v>
      </c>
      <c r="T106" s="452">
        <v>185</v>
      </c>
      <c r="U106" s="77">
        <v>140</v>
      </c>
      <c r="V106" s="77">
        <v>150</v>
      </c>
      <c r="W106" s="452">
        <v>210</v>
      </c>
      <c r="X106" s="82">
        <v>83.7</v>
      </c>
      <c r="Y106" s="83">
        <v>74.3</v>
      </c>
      <c r="Z106" s="443">
        <v>88.5</v>
      </c>
      <c r="AA106" s="63">
        <v>128</v>
      </c>
      <c r="AB106" s="63">
        <v>150</v>
      </c>
      <c r="AC106" s="19" t="s">
        <v>369</v>
      </c>
      <c r="AD106" s="84">
        <v>315</v>
      </c>
      <c r="AE106" s="85">
        <v>178</v>
      </c>
      <c r="AF106" s="85">
        <v>78</v>
      </c>
      <c r="AG106" s="85">
        <v>41</v>
      </c>
      <c r="AH106" s="85">
        <v>186</v>
      </c>
      <c r="AI106" s="85">
        <v>219</v>
      </c>
      <c r="AJ106" s="85">
        <v>134</v>
      </c>
      <c r="AK106" s="85">
        <v>143</v>
      </c>
      <c r="AL106" s="96">
        <v>50</v>
      </c>
      <c r="AM106" s="96">
        <v>88</v>
      </c>
      <c r="AN106" s="96">
        <v>115</v>
      </c>
      <c r="AO106" s="96">
        <v>122</v>
      </c>
      <c r="AP106" s="96">
        <v>112</v>
      </c>
      <c r="AQ106" s="96">
        <v>167</v>
      </c>
      <c r="AR106" s="96">
        <v>235</v>
      </c>
      <c r="AS106" s="96">
        <v>304</v>
      </c>
      <c r="AT106" s="96">
        <v>203</v>
      </c>
      <c r="AU106" s="96">
        <v>308</v>
      </c>
      <c r="AV106" s="96">
        <v>462</v>
      </c>
      <c r="AW106" s="96">
        <v>466</v>
      </c>
      <c r="AX106" s="97">
        <v>255</v>
      </c>
      <c r="AY106" s="97">
        <v>262</v>
      </c>
      <c r="AZ106" s="97">
        <v>304</v>
      </c>
      <c r="BA106" s="97">
        <v>339</v>
      </c>
      <c r="BB106" s="97">
        <v>178</v>
      </c>
      <c r="BC106" s="97">
        <v>223</v>
      </c>
      <c r="BD106" s="87">
        <v>216</v>
      </c>
      <c r="BE106" s="87">
        <v>307</v>
      </c>
      <c r="BF106" s="87">
        <v>277</v>
      </c>
      <c r="BG106" s="87">
        <v>369</v>
      </c>
      <c r="BH106" s="87">
        <v>433</v>
      </c>
      <c r="BI106" s="87">
        <v>258</v>
      </c>
      <c r="BJ106" s="87">
        <v>311</v>
      </c>
      <c r="BK106" s="87">
        <v>240</v>
      </c>
      <c r="BL106" s="87">
        <v>276</v>
      </c>
      <c r="BM106" s="87">
        <v>206</v>
      </c>
      <c r="BN106" s="87">
        <v>254</v>
      </c>
      <c r="BO106" s="87">
        <v>316</v>
      </c>
      <c r="BP106" s="87">
        <v>432</v>
      </c>
      <c r="BQ106" s="87">
        <v>337</v>
      </c>
      <c r="BR106" s="96">
        <v>343</v>
      </c>
      <c r="BS106" s="96">
        <v>355</v>
      </c>
      <c r="BT106" s="96">
        <v>277</v>
      </c>
      <c r="BU106" s="96">
        <v>393</v>
      </c>
      <c r="BV106" s="67">
        <v>827</v>
      </c>
      <c r="BW106" s="67">
        <v>776</v>
      </c>
      <c r="BX106" s="67">
        <v>1112</v>
      </c>
      <c r="BY106" s="67">
        <v>1025</v>
      </c>
      <c r="BZ106" s="68">
        <v>1117.4890063424948</v>
      </c>
      <c r="CA106" s="68">
        <v>1163.6452431289642</v>
      </c>
      <c r="CB106" s="68">
        <v>1209.8014799154334</v>
      </c>
      <c r="CC106" s="68">
        <v>1255.9577167019029</v>
      </c>
      <c r="CD106" s="68">
        <v>1302.1139534883723</v>
      </c>
      <c r="CE106" s="68">
        <v>1348.2701902748415</v>
      </c>
      <c r="CF106" s="68">
        <v>1394.426427061311</v>
      </c>
      <c r="CG106" s="68">
        <v>1440.5826638477804</v>
      </c>
      <c r="CH106" s="87">
        <v>147300</v>
      </c>
      <c r="CI106" s="467">
        <v>148509</v>
      </c>
      <c r="CJ106" s="467">
        <v>150456.75700000001</v>
      </c>
      <c r="CK106" s="467">
        <v>151993.19399999996</v>
      </c>
      <c r="CL106" s="468">
        <v>153791.60499999998</v>
      </c>
      <c r="CM106" s="19" t="s">
        <v>369</v>
      </c>
      <c r="CN106" s="70">
        <v>192</v>
      </c>
      <c r="CO106" s="70">
        <v>197</v>
      </c>
      <c r="CP106" s="70">
        <v>176</v>
      </c>
      <c r="CQ106" s="70">
        <v>217</v>
      </c>
      <c r="CR106" s="70">
        <v>171</v>
      </c>
      <c r="CS106" s="70">
        <v>214</v>
      </c>
      <c r="CT106" s="70">
        <v>223</v>
      </c>
      <c r="CU106" s="70">
        <v>250</v>
      </c>
      <c r="CV106" s="70">
        <v>223</v>
      </c>
      <c r="CW106" s="70">
        <v>221</v>
      </c>
      <c r="CX106" s="70">
        <v>188</v>
      </c>
      <c r="CY106" s="70">
        <v>176</v>
      </c>
      <c r="CZ106" s="70">
        <v>158</v>
      </c>
      <c r="DA106" s="70">
        <v>200</v>
      </c>
      <c r="DB106" s="70">
        <v>197</v>
      </c>
      <c r="DC106" s="70">
        <v>180</v>
      </c>
      <c r="DD106" s="70">
        <v>181</v>
      </c>
      <c r="DE106" s="70">
        <v>164</v>
      </c>
      <c r="DF106" s="70">
        <v>214</v>
      </c>
      <c r="DG106" s="70">
        <v>206</v>
      </c>
      <c r="DH106" s="70">
        <v>234</v>
      </c>
      <c r="DI106" s="70">
        <v>192</v>
      </c>
      <c r="DJ106" s="70">
        <v>155</v>
      </c>
      <c r="DK106" s="70">
        <v>183</v>
      </c>
      <c r="DL106" s="46">
        <v>186</v>
      </c>
      <c r="DM106" s="46">
        <v>176</v>
      </c>
      <c r="DN106" s="46">
        <v>180</v>
      </c>
      <c r="DO106" s="46">
        <v>186</v>
      </c>
      <c r="DP106" s="46">
        <v>181</v>
      </c>
      <c r="DQ106" s="46">
        <v>206</v>
      </c>
      <c r="DR106" s="46">
        <v>222</v>
      </c>
      <c r="DS106" s="46">
        <v>214</v>
      </c>
      <c r="DT106" s="46">
        <v>234</v>
      </c>
      <c r="DU106" s="46">
        <v>221</v>
      </c>
      <c r="DV106" s="46">
        <v>219</v>
      </c>
      <c r="DW106" s="46">
        <v>186</v>
      </c>
      <c r="DX106" s="46">
        <v>204</v>
      </c>
      <c r="DY106" s="46">
        <v>226</v>
      </c>
      <c r="DZ106" s="46">
        <v>237</v>
      </c>
      <c r="EA106" s="46">
        <v>199</v>
      </c>
      <c r="EB106" s="46">
        <v>208</v>
      </c>
      <c r="EC106" s="46">
        <v>200</v>
      </c>
      <c r="ED106" s="46">
        <v>237</v>
      </c>
      <c r="EE106" s="46">
        <v>229</v>
      </c>
      <c r="EF106" s="46">
        <v>271</v>
      </c>
      <c r="EG106" s="46">
        <v>229</v>
      </c>
      <c r="EH106" s="46">
        <v>210</v>
      </c>
      <c r="EI106" s="46">
        <v>198</v>
      </c>
      <c r="EJ106" s="46">
        <v>217</v>
      </c>
      <c r="EK106" s="46">
        <v>234</v>
      </c>
      <c r="EL106" s="46">
        <v>206</v>
      </c>
      <c r="EM106" s="46">
        <v>225</v>
      </c>
      <c r="EN106" s="46">
        <v>167</v>
      </c>
      <c r="EO106" s="46">
        <v>195</v>
      </c>
      <c r="EP106" s="46">
        <v>199</v>
      </c>
      <c r="EQ106" s="46">
        <v>200</v>
      </c>
      <c r="ER106" s="46">
        <v>230</v>
      </c>
      <c r="ES106" s="46">
        <v>198</v>
      </c>
      <c r="ET106" s="46">
        <v>637</v>
      </c>
      <c r="EU106" s="46">
        <v>657</v>
      </c>
      <c r="EV106" s="46">
        <v>587</v>
      </c>
      <c r="EW106" s="46">
        <v>629</v>
      </c>
      <c r="EX106" s="71">
        <v>649.01713371681694</v>
      </c>
      <c r="EY106" s="71">
        <v>652.38635454797134</v>
      </c>
      <c r="EZ106" s="71">
        <v>655.75557537912584</v>
      </c>
      <c r="FA106" s="71">
        <v>659.12479621028024</v>
      </c>
      <c r="FB106" s="71">
        <v>662.49401704143474</v>
      </c>
      <c r="FC106" s="71">
        <v>665.86323787258914</v>
      </c>
      <c r="FD106" s="71">
        <v>669.23245870374365</v>
      </c>
      <c r="FE106" s="71">
        <v>672.60167953489804</v>
      </c>
      <c r="FF106" s="72">
        <v>187527</v>
      </c>
      <c r="FG106" s="72">
        <v>189145</v>
      </c>
      <c r="FH106" s="476">
        <v>191365</v>
      </c>
      <c r="FI106" s="476">
        <v>194039.24299999999</v>
      </c>
      <c r="FJ106" s="476">
        <v>196510.10399999999</v>
      </c>
      <c r="FK106" s="476">
        <v>199126.98</v>
      </c>
    </row>
    <row r="107" spans="1:167">
      <c r="A107" s="73" t="s">
        <v>913</v>
      </c>
      <c r="B107" s="19" t="s">
        <v>914</v>
      </c>
      <c r="C107" s="74" t="s">
        <v>752</v>
      </c>
      <c r="D107" s="75" t="s">
        <v>372</v>
      </c>
      <c r="E107" s="76">
        <v>260</v>
      </c>
      <c r="F107" s="77">
        <v>240</v>
      </c>
      <c r="G107" s="410">
        <v>250</v>
      </c>
      <c r="H107" s="78">
        <v>31035</v>
      </c>
      <c r="I107" s="77">
        <v>32230</v>
      </c>
      <c r="J107" s="410">
        <v>33038</v>
      </c>
      <c r="K107" s="410">
        <v>33715.188000000002</v>
      </c>
      <c r="L107" s="418">
        <v>34454.507999999994</v>
      </c>
      <c r="M107" s="79">
        <v>831.3</v>
      </c>
      <c r="N107" s="80">
        <v>750.9</v>
      </c>
      <c r="O107" s="421">
        <v>778.8</v>
      </c>
      <c r="P107" s="71">
        <v>235</v>
      </c>
      <c r="Q107" s="75" t="s">
        <v>372</v>
      </c>
      <c r="R107" s="81">
        <v>120</v>
      </c>
      <c r="S107" s="77">
        <v>1065</v>
      </c>
      <c r="T107" s="452">
        <v>125</v>
      </c>
      <c r="U107" s="77">
        <v>165</v>
      </c>
      <c r="V107" s="77">
        <v>1515</v>
      </c>
      <c r="W107" s="452">
        <v>165</v>
      </c>
      <c r="X107" s="82">
        <v>70.7</v>
      </c>
      <c r="Y107" s="83">
        <v>70.2</v>
      </c>
      <c r="Z107" s="443">
        <v>77.400000000000006</v>
      </c>
      <c r="AA107" s="63">
        <v>284</v>
      </c>
      <c r="AB107" s="63">
        <v>379</v>
      </c>
      <c r="AC107" s="19" t="s">
        <v>372</v>
      </c>
      <c r="AD107" s="84">
        <v>229</v>
      </c>
      <c r="AE107" s="85">
        <v>327</v>
      </c>
      <c r="AF107" s="85">
        <v>337</v>
      </c>
      <c r="AG107" s="85">
        <v>278</v>
      </c>
      <c r="AH107" s="85">
        <v>287</v>
      </c>
      <c r="AI107" s="85">
        <v>434</v>
      </c>
      <c r="AJ107" s="85">
        <v>327</v>
      </c>
      <c r="AK107" s="85">
        <v>400</v>
      </c>
      <c r="AL107" s="96">
        <v>227</v>
      </c>
      <c r="AM107" s="96">
        <v>214</v>
      </c>
      <c r="AN107" s="96">
        <v>457</v>
      </c>
      <c r="AO107" s="96">
        <v>432</v>
      </c>
      <c r="AP107" s="96">
        <v>258</v>
      </c>
      <c r="AQ107" s="96">
        <v>266</v>
      </c>
      <c r="AR107" s="96">
        <v>250</v>
      </c>
      <c r="AS107" s="96">
        <v>299</v>
      </c>
      <c r="AT107" s="96">
        <v>156</v>
      </c>
      <c r="AU107" s="96">
        <v>88</v>
      </c>
      <c r="AV107" s="96">
        <v>49</v>
      </c>
      <c r="AW107" s="96">
        <v>94</v>
      </c>
      <c r="AX107" s="97">
        <v>121</v>
      </c>
      <c r="AY107" s="97">
        <v>84</v>
      </c>
      <c r="AZ107" s="97">
        <v>193</v>
      </c>
      <c r="BA107" s="97">
        <v>241</v>
      </c>
      <c r="BB107" s="97">
        <v>176</v>
      </c>
      <c r="BC107" s="97">
        <v>151</v>
      </c>
      <c r="BD107" s="87">
        <v>141</v>
      </c>
      <c r="BE107" s="87">
        <v>296</v>
      </c>
      <c r="BF107" s="87">
        <v>334</v>
      </c>
      <c r="BG107" s="87">
        <v>206</v>
      </c>
      <c r="BH107" s="87">
        <v>233</v>
      </c>
      <c r="BI107" s="87">
        <v>239</v>
      </c>
      <c r="BJ107" s="87">
        <v>184</v>
      </c>
      <c r="BK107" s="87">
        <v>245</v>
      </c>
      <c r="BL107" s="87">
        <v>176</v>
      </c>
      <c r="BM107" s="87">
        <v>285</v>
      </c>
      <c r="BN107" s="87">
        <v>252</v>
      </c>
      <c r="BO107" s="87">
        <v>190</v>
      </c>
      <c r="BP107" s="87">
        <v>179</v>
      </c>
      <c r="BQ107" s="87">
        <v>51</v>
      </c>
      <c r="BR107" s="96">
        <v>170</v>
      </c>
      <c r="BS107" s="96">
        <v>241</v>
      </c>
      <c r="BT107" s="96">
        <v>154</v>
      </c>
      <c r="BU107" s="96">
        <v>180</v>
      </c>
      <c r="BV107" s="67">
        <v>605</v>
      </c>
      <c r="BW107" s="67">
        <v>727</v>
      </c>
      <c r="BX107" s="67">
        <v>400</v>
      </c>
      <c r="BY107" s="67">
        <v>575</v>
      </c>
      <c r="BZ107" s="68">
        <v>446.6133192389006</v>
      </c>
      <c r="CA107" s="68">
        <v>415.44693446088786</v>
      </c>
      <c r="CB107" s="68">
        <v>384.28054968287529</v>
      </c>
      <c r="CC107" s="68">
        <v>353.11416490486255</v>
      </c>
      <c r="CD107" s="68">
        <v>321.94778012684981</v>
      </c>
      <c r="CE107" s="68">
        <v>290.78139534883724</v>
      </c>
      <c r="CF107" s="68">
        <v>259.6150105708245</v>
      </c>
      <c r="CG107" s="68">
        <v>228.44862579281178</v>
      </c>
      <c r="CH107" s="87">
        <v>161300</v>
      </c>
      <c r="CI107" s="467">
        <v>161558</v>
      </c>
      <c r="CJ107" s="467">
        <v>162198.777</v>
      </c>
      <c r="CK107" s="467">
        <v>162688.37399999998</v>
      </c>
      <c r="CL107" s="468">
        <v>163140.12800000006</v>
      </c>
      <c r="CM107" s="19" t="s">
        <v>372</v>
      </c>
      <c r="CN107" s="70">
        <v>506</v>
      </c>
      <c r="CO107" s="70">
        <v>480</v>
      </c>
      <c r="CP107" s="70">
        <v>421</v>
      </c>
      <c r="CQ107" s="70">
        <v>449</v>
      </c>
      <c r="CR107" s="70">
        <v>446</v>
      </c>
      <c r="CS107" s="70">
        <v>484</v>
      </c>
      <c r="CT107" s="70">
        <v>626</v>
      </c>
      <c r="CU107" s="70">
        <v>542</v>
      </c>
      <c r="CV107" s="70">
        <v>548</v>
      </c>
      <c r="CW107" s="70">
        <v>443</v>
      </c>
      <c r="CX107" s="70">
        <v>447</v>
      </c>
      <c r="CY107" s="70">
        <v>521</v>
      </c>
      <c r="CZ107" s="70">
        <v>490</v>
      </c>
      <c r="DA107" s="70">
        <v>491</v>
      </c>
      <c r="DB107" s="70">
        <v>463</v>
      </c>
      <c r="DC107" s="70">
        <v>474</v>
      </c>
      <c r="DD107" s="70">
        <v>473</v>
      </c>
      <c r="DE107" s="70">
        <v>478</v>
      </c>
      <c r="DF107" s="70">
        <v>518</v>
      </c>
      <c r="DG107" s="70">
        <v>547</v>
      </c>
      <c r="DH107" s="70">
        <v>661</v>
      </c>
      <c r="DI107" s="70">
        <v>575</v>
      </c>
      <c r="DJ107" s="70">
        <v>500</v>
      </c>
      <c r="DK107" s="70">
        <v>535</v>
      </c>
      <c r="DL107" s="46">
        <v>626</v>
      </c>
      <c r="DM107" s="46">
        <v>579</v>
      </c>
      <c r="DN107" s="46">
        <v>591</v>
      </c>
      <c r="DO107" s="46">
        <v>566</v>
      </c>
      <c r="DP107" s="46">
        <v>543</v>
      </c>
      <c r="DQ107" s="46">
        <v>541</v>
      </c>
      <c r="DR107" s="46">
        <v>561</v>
      </c>
      <c r="DS107" s="46">
        <v>562</v>
      </c>
      <c r="DT107" s="46">
        <v>721</v>
      </c>
      <c r="DU107" s="46">
        <v>629</v>
      </c>
      <c r="DV107" s="46">
        <v>635</v>
      </c>
      <c r="DW107" s="46">
        <v>618</v>
      </c>
      <c r="DX107" s="46">
        <v>656</v>
      </c>
      <c r="DY107" s="46">
        <v>648</v>
      </c>
      <c r="DZ107" s="46">
        <v>528</v>
      </c>
      <c r="EA107" s="46">
        <v>581</v>
      </c>
      <c r="EB107" s="46">
        <v>562</v>
      </c>
      <c r="EC107" s="46">
        <v>564</v>
      </c>
      <c r="ED107" s="46">
        <v>615</v>
      </c>
      <c r="EE107" s="46">
        <v>649</v>
      </c>
      <c r="EF107" s="46">
        <v>688</v>
      </c>
      <c r="EG107" s="46">
        <v>578</v>
      </c>
      <c r="EH107" s="46">
        <v>578</v>
      </c>
      <c r="EI107" s="46">
        <v>684</v>
      </c>
      <c r="EJ107" s="46">
        <v>594</v>
      </c>
      <c r="EK107" s="46">
        <v>544</v>
      </c>
      <c r="EL107" s="46">
        <v>453</v>
      </c>
      <c r="EM107" s="46">
        <v>531</v>
      </c>
      <c r="EN107" s="46">
        <v>462</v>
      </c>
      <c r="EO107" s="46">
        <v>491</v>
      </c>
      <c r="EP107" s="46">
        <v>549</v>
      </c>
      <c r="EQ107" s="46">
        <v>513</v>
      </c>
      <c r="ER107" s="46">
        <v>710</v>
      </c>
      <c r="ES107" s="46">
        <v>597</v>
      </c>
      <c r="ET107" s="46">
        <v>1840</v>
      </c>
      <c r="EU107" s="46">
        <v>1591</v>
      </c>
      <c r="EV107" s="46">
        <v>1484</v>
      </c>
      <c r="EW107" s="46">
        <v>1772</v>
      </c>
      <c r="EX107" s="71">
        <v>1854.1972992094495</v>
      </c>
      <c r="EY107" s="71">
        <v>1872.2584822664489</v>
      </c>
      <c r="EZ107" s="71">
        <v>1890.3196653234486</v>
      </c>
      <c r="FA107" s="71">
        <v>1908.3808483804485</v>
      </c>
      <c r="FB107" s="71">
        <v>1926.4420314374479</v>
      </c>
      <c r="FC107" s="71">
        <v>1944.5032144944473</v>
      </c>
      <c r="FD107" s="71">
        <v>1962.5643975514472</v>
      </c>
      <c r="FE107" s="71">
        <v>1980.6255806084469</v>
      </c>
      <c r="FF107" s="72">
        <v>211929</v>
      </c>
      <c r="FG107" s="72">
        <v>212020</v>
      </c>
      <c r="FH107" s="476">
        <v>212120</v>
      </c>
      <c r="FI107" s="476">
        <v>212742.25899999999</v>
      </c>
      <c r="FJ107" s="476">
        <v>213193.95699999999</v>
      </c>
      <c r="FK107" s="476">
        <v>213697.24600000001</v>
      </c>
    </row>
    <row r="108" spans="1:167">
      <c r="A108" s="73" t="s">
        <v>901</v>
      </c>
      <c r="B108" s="19" t="s">
        <v>902</v>
      </c>
      <c r="C108" s="74" t="s">
        <v>753</v>
      </c>
      <c r="D108" s="75" t="s">
        <v>375</v>
      </c>
      <c r="E108" s="76">
        <v>415</v>
      </c>
      <c r="F108" s="77">
        <v>345</v>
      </c>
      <c r="G108" s="410">
        <v>325</v>
      </c>
      <c r="H108" s="78">
        <v>45130</v>
      </c>
      <c r="I108" s="77">
        <v>46645</v>
      </c>
      <c r="J108" s="410">
        <v>47792</v>
      </c>
      <c r="K108" s="410">
        <v>48841.529999999992</v>
      </c>
      <c r="L108" s="418">
        <v>49863.968000000008</v>
      </c>
      <c r="M108" s="79">
        <v>917.3</v>
      </c>
      <c r="N108" s="80">
        <v>739.6</v>
      </c>
      <c r="O108" s="421">
        <v>694.6</v>
      </c>
      <c r="P108" s="71">
        <v>317</v>
      </c>
      <c r="Q108" s="75" t="s">
        <v>375</v>
      </c>
      <c r="R108" s="81">
        <v>120</v>
      </c>
      <c r="S108" s="77">
        <v>110</v>
      </c>
      <c r="T108" s="452">
        <v>115</v>
      </c>
      <c r="U108" s="77">
        <v>140</v>
      </c>
      <c r="V108" s="77">
        <v>130</v>
      </c>
      <c r="W108" s="452">
        <v>130</v>
      </c>
      <c r="X108" s="82">
        <v>85.5</v>
      </c>
      <c r="Y108" s="83">
        <v>86.7</v>
      </c>
      <c r="Z108" s="443">
        <v>87.7</v>
      </c>
      <c r="AA108" s="63">
        <v>117</v>
      </c>
      <c r="AB108" s="63">
        <v>130</v>
      </c>
      <c r="AC108" s="19" t="s">
        <v>375</v>
      </c>
      <c r="AD108" s="84">
        <v>163</v>
      </c>
      <c r="AE108" s="85">
        <v>248</v>
      </c>
      <c r="AF108" s="85">
        <v>599</v>
      </c>
      <c r="AG108" s="85">
        <v>475</v>
      </c>
      <c r="AH108" s="85">
        <v>389</v>
      </c>
      <c r="AI108" s="85">
        <v>175</v>
      </c>
      <c r="AJ108" s="85">
        <v>219</v>
      </c>
      <c r="AK108" s="85">
        <v>180</v>
      </c>
      <c r="AL108" s="96">
        <v>212</v>
      </c>
      <c r="AM108" s="96">
        <v>340</v>
      </c>
      <c r="AN108" s="96">
        <v>442</v>
      </c>
      <c r="AO108" s="96">
        <v>240</v>
      </c>
      <c r="AP108" s="96">
        <v>286</v>
      </c>
      <c r="AQ108" s="96">
        <v>423</v>
      </c>
      <c r="AR108" s="96">
        <v>282</v>
      </c>
      <c r="AS108" s="96">
        <v>253</v>
      </c>
      <c r="AT108" s="96">
        <v>214</v>
      </c>
      <c r="AU108" s="96">
        <v>229</v>
      </c>
      <c r="AV108" s="96">
        <v>151</v>
      </c>
      <c r="AW108" s="96">
        <v>162</v>
      </c>
      <c r="AX108" s="97">
        <v>165</v>
      </c>
      <c r="AY108" s="97">
        <v>115</v>
      </c>
      <c r="AZ108" s="97">
        <v>219</v>
      </c>
      <c r="BA108" s="97">
        <v>292</v>
      </c>
      <c r="BB108" s="97">
        <v>315</v>
      </c>
      <c r="BC108" s="97">
        <v>372</v>
      </c>
      <c r="BD108" s="87">
        <v>347</v>
      </c>
      <c r="BE108" s="87">
        <v>322</v>
      </c>
      <c r="BF108" s="87">
        <v>147</v>
      </c>
      <c r="BG108" s="87">
        <v>130</v>
      </c>
      <c r="BH108" s="87">
        <v>244</v>
      </c>
      <c r="BI108" s="87">
        <v>112</v>
      </c>
      <c r="BJ108" s="87">
        <v>334</v>
      </c>
      <c r="BK108" s="87">
        <v>294</v>
      </c>
      <c r="BL108" s="87">
        <v>193</v>
      </c>
      <c r="BM108" s="87">
        <v>153</v>
      </c>
      <c r="BN108" s="87">
        <v>224</v>
      </c>
      <c r="BO108" s="87">
        <v>296</v>
      </c>
      <c r="BP108" s="87">
        <v>313</v>
      </c>
      <c r="BQ108" s="87">
        <v>244</v>
      </c>
      <c r="BR108" s="96">
        <v>231</v>
      </c>
      <c r="BS108" s="96">
        <v>330</v>
      </c>
      <c r="BT108" s="96">
        <v>354</v>
      </c>
      <c r="BU108" s="96">
        <v>412</v>
      </c>
      <c r="BV108" s="67">
        <v>821</v>
      </c>
      <c r="BW108" s="67">
        <v>673</v>
      </c>
      <c r="BX108" s="67">
        <v>788</v>
      </c>
      <c r="BY108" s="67">
        <v>1096</v>
      </c>
      <c r="BZ108" s="68">
        <v>742.77441860465103</v>
      </c>
      <c r="CA108" s="68">
        <v>734.54059196617322</v>
      </c>
      <c r="CB108" s="68">
        <v>726.30676532769542</v>
      </c>
      <c r="CC108" s="68">
        <v>718.07293868921772</v>
      </c>
      <c r="CD108" s="68">
        <v>709.83911205073991</v>
      </c>
      <c r="CE108" s="68">
        <v>701.60528541226211</v>
      </c>
      <c r="CF108" s="68">
        <v>693.3714587737843</v>
      </c>
      <c r="CG108" s="68">
        <v>685.13763213530649</v>
      </c>
      <c r="CH108" s="87">
        <v>202200</v>
      </c>
      <c r="CI108" s="467">
        <v>202588</v>
      </c>
      <c r="CJ108" s="467">
        <v>203866.61500000005</v>
      </c>
      <c r="CK108" s="467">
        <v>204794.26199999996</v>
      </c>
      <c r="CL108" s="468">
        <v>205610.06300000008</v>
      </c>
      <c r="CM108" s="19" t="s">
        <v>375</v>
      </c>
      <c r="CN108" s="70">
        <v>617</v>
      </c>
      <c r="CO108" s="70">
        <v>546</v>
      </c>
      <c r="CP108" s="70">
        <v>542</v>
      </c>
      <c r="CQ108" s="70">
        <v>591</v>
      </c>
      <c r="CR108" s="70">
        <v>556</v>
      </c>
      <c r="CS108" s="70">
        <v>509</v>
      </c>
      <c r="CT108" s="70">
        <v>647</v>
      </c>
      <c r="CU108" s="70">
        <v>597</v>
      </c>
      <c r="CV108" s="70">
        <v>705</v>
      </c>
      <c r="CW108" s="70">
        <v>608</v>
      </c>
      <c r="CX108" s="70">
        <v>551</v>
      </c>
      <c r="CY108" s="70">
        <v>583</v>
      </c>
      <c r="CZ108" s="70">
        <v>644</v>
      </c>
      <c r="DA108" s="70">
        <v>618</v>
      </c>
      <c r="DB108" s="70">
        <v>578</v>
      </c>
      <c r="DC108" s="70">
        <v>593</v>
      </c>
      <c r="DD108" s="70">
        <v>537</v>
      </c>
      <c r="DE108" s="70">
        <v>602</v>
      </c>
      <c r="DF108" s="70">
        <v>629</v>
      </c>
      <c r="DG108" s="70">
        <v>707</v>
      </c>
      <c r="DH108" s="70">
        <v>708</v>
      </c>
      <c r="DI108" s="70">
        <v>722</v>
      </c>
      <c r="DJ108" s="70">
        <v>627</v>
      </c>
      <c r="DK108" s="70">
        <v>651</v>
      </c>
      <c r="DL108" s="46">
        <v>661</v>
      </c>
      <c r="DM108" s="46">
        <v>592</v>
      </c>
      <c r="DN108" s="46">
        <v>581</v>
      </c>
      <c r="DO108" s="46">
        <v>574</v>
      </c>
      <c r="DP108" s="46">
        <v>584</v>
      </c>
      <c r="DQ108" s="46">
        <v>614</v>
      </c>
      <c r="DR108" s="46">
        <v>642</v>
      </c>
      <c r="DS108" s="46">
        <v>617</v>
      </c>
      <c r="DT108" s="46">
        <v>710</v>
      </c>
      <c r="DU108" s="46">
        <v>677</v>
      </c>
      <c r="DV108" s="46">
        <v>688</v>
      </c>
      <c r="DW108" s="46">
        <v>631</v>
      </c>
      <c r="DX108" s="46">
        <v>603</v>
      </c>
      <c r="DY108" s="46">
        <v>592</v>
      </c>
      <c r="DZ108" s="46">
        <v>524</v>
      </c>
      <c r="EA108" s="46">
        <v>495</v>
      </c>
      <c r="EB108" s="46">
        <v>524</v>
      </c>
      <c r="EC108" s="46">
        <v>497</v>
      </c>
      <c r="ED108" s="46">
        <v>527</v>
      </c>
      <c r="EE108" s="46">
        <v>627</v>
      </c>
      <c r="EF108" s="46">
        <v>676</v>
      </c>
      <c r="EG108" s="46">
        <v>647</v>
      </c>
      <c r="EH108" s="46">
        <v>634</v>
      </c>
      <c r="EI108" s="46">
        <v>582</v>
      </c>
      <c r="EJ108" s="46">
        <v>606</v>
      </c>
      <c r="EK108" s="46">
        <v>523</v>
      </c>
      <c r="EL108" s="46">
        <v>468</v>
      </c>
      <c r="EM108" s="46">
        <v>498</v>
      </c>
      <c r="EN108" s="46">
        <v>468</v>
      </c>
      <c r="EO108" s="46">
        <v>513</v>
      </c>
      <c r="EP108" s="46">
        <v>561</v>
      </c>
      <c r="EQ108" s="46">
        <v>551</v>
      </c>
      <c r="ER108" s="46">
        <v>704</v>
      </c>
      <c r="ES108" s="46">
        <v>544</v>
      </c>
      <c r="ET108" s="46">
        <v>1863</v>
      </c>
      <c r="EU108" s="46">
        <v>1597</v>
      </c>
      <c r="EV108" s="46">
        <v>1479</v>
      </c>
      <c r="EW108" s="46">
        <v>1816</v>
      </c>
      <c r="EX108" s="71">
        <v>1709.1896705527702</v>
      </c>
      <c r="EY108" s="71">
        <v>1701.7477621581718</v>
      </c>
      <c r="EZ108" s="71">
        <v>1694.3058537635734</v>
      </c>
      <c r="FA108" s="71">
        <v>1686.8639453689748</v>
      </c>
      <c r="FB108" s="71">
        <v>1679.4220369743766</v>
      </c>
      <c r="FC108" s="71">
        <v>1671.980128579778</v>
      </c>
      <c r="FD108" s="71">
        <v>1664.5382201851796</v>
      </c>
      <c r="FE108" s="71">
        <v>1657.0963117905812</v>
      </c>
      <c r="FF108" s="72">
        <v>257716</v>
      </c>
      <c r="FG108" s="72">
        <v>258352</v>
      </c>
      <c r="FH108" s="476">
        <v>258689</v>
      </c>
      <c r="FI108" s="476">
        <v>259888.98300000001</v>
      </c>
      <c r="FJ108" s="476">
        <v>260781.595</v>
      </c>
      <c r="FK108" s="476">
        <v>261739.33199999999</v>
      </c>
    </row>
    <row r="109" spans="1:167">
      <c r="A109" s="73" t="s">
        <v>952</v>
      </c>
      <c r="B109" s="19" t="s">
        <v>953</v>
      </c>
      <c r="C109" s="74" t="s">
        <v>754</v>
      </c>
      <c r="D109" s="75" t="s">
        <v>378</v>
      </c>
      <c r="E109" s="76">
        <v>40</v>
      </c>
      <c r="F109" s="77">
        <v>55</v>
      </c>
      <c r="G109" s="410">
        <v>45</v>
      </c>
      <c r="H109" s="78">
        <v>7960</v>
      </c>
      <c r="I109" s="77">
        <v>8245</v>
      </c>
      <c r="J109" s="410">
        <v>8544</v>
      </c>
      <c r="K109" s="410">
        <v>8808.5540000000001</v>
      </c>
      <c r="L109" s="418">
        <v>9076.5010000000002</v>
      </c>
      <c r="M109" s="79">
        <v>502.4</v>
      </c>
      <c r="N109" s="80">
        <v>691.4</v>
      </c>
      <c r="O109" s="421">
        <v>521.6</v>
      </c>
      <c r="P109" s="71">
        <v>47</v>
      </c>
      <c r="Q109" s="75" t="s">
        <v>378</v>
      </c>
      <c r="R109" s="81">
        <v>50</v>
      </c>
      <c r="S109" s="77">
        <v>0</v>
      </c>
      <c r="T109" s="452">
        <v>20</v>
      </c>
      <c r="U109" s="77">
        <v>50</v>
      </c>
      <c r="V109" s="77">
        <v>25</v>
      </c>
      <c r="W109" s="452">
        <v>30</v>
      </c>
      <c r="X109" s="82">
        <v>96.2</v>
      </c>
      <c r="Y109" s="83">
        <v>0</v>
      </c>
      <c r="Z109" s="443">
        <v>62.1</v>
      </c>
      <c r="AA109" s="63">
        <v>5</v>
      </c>
      <c r="AB109" s="63">
        <v>30</v>
      </c>
      <c r="AC109" s="19" t="s">
        <v>378</v>
      </c>
      <c r="AD109" s="84">
        <v>56</v>
      </c>
      <c r="AE109" s="85">
        <v>30</v>
      </c>
      <c r="AF109" s="85">
        <v>38</v>
      </c>
      <c r="AG109" s="85">
        <v>38</v>
      </c>
      <c r="AH109" s="85">
        <v>68</v>
      </c>
      <c r="AI109" s="85">
        <v>187</v>
      </c>
      <c r="AJ109" s="85">
        <v>75</v>
      </c>
      <c r="AK109" s="85">
        <v>65</v>
      </c>
      <c r="AL109" s="96">
        <v>40</v>
      </c>
      <c r="AM109" s="96">
        <v>2</v>
      </c>
      <c r="AN109" s="96">
        <v>49</v>
      </c>
      <c r="AO109" s="96">
        <v>61</v>
      </c>
      <c r="AP109" s="96">
        <v>35</v>
      </c>
      <c r="AQ109" s="96">
        <v>79</v>
      </c>
      <c r="AR109" s="96">
        <v>36</v>
      </c>
      <c r="AS109" s="96">
        <v>80</v>
      </c>
      <c r="AT109" s="96">
        <v>53</v>
      </c>
      <c r="AU109" s="96">
        <v>50</v>
      </c>
      <c r="AV109" s="96">
        <v>63</v>
      </c>
      <c r="AW109" s="96">
        <v>25</v>
      </c>
      <c r="AX109" s="97">
        <v>137</v>
      </c>
      <c r="AY109" s="97">
        <v>195</v>
      </c>
      <c r="AZ109" s="97">
        <v>109</v>
      </c>
      <c r="BA109" s="97">
        <v>29</v>
      </c>
      <c r="BB109" s="97">
        <v>41</v>
      </c>
      <c r="BC109" s="97">
        <v>108</v>
      </c>
      <c r="BD109" s="87">
        <v>152</v>
      </c>
      <c r="BE109" s="87">
        <v>84</v>
      </c>
      <c r="BF109" s="87">
        <v>60</v>
      </c>
      <c r="BG109" s="87">
        <v>98</v>
      </c>
      <c r="BH109" s="87">
        <v>140</v>
      </c>
      <c r="BI109" s="87">
        <v>153</v>
      </c>
      <c r="BJ109" s="87">
        <v>100</v>
      </c>
      <c r="BK109" s="87">
        <v>78</v>
      </c>
      <c r="BL109" s="87">
        <v>115</v>
      </c>
      <c r="BM109" s="87">
        <v>128</v>
      </c>
      <c r="BN109" s="87">
        <v>169</v>
      </c>
      <c r="BO109" s="87">
        <v>173</v>
      </c>
      <c r="BP109" s="87">
        <v>115</v>
      </c>
      <c r="BQ109" s="87">
        <v>141</v>
      </c>
      <c r="BR109" s="96">
        <v>42</v>
      </c>
      <c r="BS109" s="96">
        <v>67</v>
      </c>
      <c r="BT109" s="96">
        <v>93</v>
      </c>
      <c r="BU109" s="96">
        <v>140</v>
      </c>
      <c r="BV109" s="67">
        <v>293</v>
      </c>
      <c r="BW109" s="67">
        <v>470</v>
      </c>
      <c r="BX109" s="67">
        <v>298</v>
      </c>
      <c r="BY109" s="67">
        <v>300</v>
      </c>
      <c r="BZ109" s="68">
        <v>386.00993657505279</v>
      </c>
      <c r="CA109" s="68">
        <v>402.23847780126852</v>
      </c>
      <c r="CB109" s="68">
        <v>418.46701902748418</v>
      </c>
      <c r="CC109" s="68">
        <v>434.6955602536998</v>
      </c>
      <c r="CD109" s="68">
        <v>450.92410147991541</v>
      </c>
      <c r="CE109" s="68">
        <v>467.15264270613108</v>
      </c>
      <c r="CF109" s="68">
        <v>483.38118393234674</v>
      </c>
      <c r="CG109" s="68">
        <v>499.60972515856236</v>
      </c>
      <c r="CH109" s="87">
        <v>29200</v>
      </c>
      <c r="CI109" s="467">
        <v>29838</v>
      </c>
      <c r="CJ109" s="467">
        <v>29151.670000000002</v>
      </c>
      <c r="CK109" s="467">
        <v>29200.405000000006</v>
      </c>
      <c r="CL109" s="468">
        <v>29300.604999999996</v>
      </c>
      <c r="CM109" s="19" t="s">
        <v>378</v>
      </c>
      <c r="CN109" s="70">
        <v>58</v>
      </c>
      <c r="CO109" s="70">
        <v>50</v>
      </c>
      <c r="CP109" s="70">
        <v>47</v>
      </c>
      <c r="CQ109" s="70">
        <v>53</v>
      </c>
      <c r="CR109" s="70">
        <v>45</v>
      </c>
      <c r="CS109" s="70">
        <v>48</v>
      </c>
      <c r="CT109" s="70">
        <v>46</v>
      </c>
      <c r="CU109" s="70">
        <v>58</v>
      </c>
      <c r="CV109" s="70">
        <v>67</v>
      </c>
      <c r="CW109" s="70">
        <v>45</v>
      </c>
      <c r="CX109" s="70">
        <v>49</v>
      </c>
      <c r="CY109" s="70">
        <v>63</v>
      </c>
      <c r="CZ109" s="70">
        <v>32</v>
      </c>
      <c r="DA109" s="70">
        <v>43</v>
      </c>
      <c r="DB109" s="70">
        <v>40</v>
      </c>
      <c r="DC109" s="70">
        <v>47</v>
      </c>
      <c r="DD109" s="70">
        <v>41</v>
      </c>
      <c r="DE109" s="70">
        <v>30</v>
      </c>
      <c r="DF109" s="70">
        <v>48</v>
      </c>
      <c r="DG109" s="70">
        <v>45</v>
      </c>
      <c r="DH109" s="70">
        <v>61</v>
      </c>
      <c r="DI109" s="70">
        <v>54</v>
      </c>
      <c r="DJ109" s="70">
        <v>46</v>
      </c>
      <c r="DK109" s="70">
        <v>52</v>
      </c>
      <c r="DL109" s="46">
        <v>44</v>
      </c>
      <c r="DM109" s="46">
        <v>43</v>
      </c>
      <c r="DN109" s="46">
        <v>41</v>
      </c>
      <c r="DO109" s="46">
        <v>42</v>
      </c>
      <c r="DP109" s="46">
        <v>25</v>
      </c>
      <c r="DQ109" s="46">
        <v>27</v>
      </c>
      <c r="DR109" s="46">
        <v>35</v>
      </c>
      <c r="DS109" s="46">
        <v>34</v>
      </c>
      <c r="DT109" s="46">
        <v>46</v>
      </c>
      <c r="DU109" s="46">
        <v>51</v>
      </c>
      <c r="DV109" s="46">
        <v>45</v>
      </c>
      <c r="DW109" s="46">
        <v>42</v>
      </c>
      <c r="DX109" s="46">
        <v>45</v>
      </c>
      <c r="DY109" s="46">
        <v>44</v>
      </c>
      <c r="DZ109" s="46">
        <v>34</v>
      </c>
      <c r="EA109" s="46">
        <v>42</v>
      </c>
      <c r="EB109" s="46">
        <v>47</v>
      </c>
      <c r="EC109" s="46">
        <v>36</v>
      </c>
      <c r="ED109" s="46">
        <v>43</v>
      </c>
      <c r="EE109" s="46">
        <v>51</v>
      </c>
      <c r="EF109" s="46">
        <v>59</v>
      </c>
      <c r="EG109" s="46">
        <v>36</v>
      </c>
      <c r="EH109" s="46">
        <v>39</v>
      </c>
      <c r="EI109" s="46">
        <v>50</v>
      </c>
      <c r="EJ109" s="46">
        <v>56</v>
      </c>
      <c r="EK109" s="46">
        <v>51</v>
      </c>
      <c r="EL109" s="46">
        <v>34</v>
      </c>
      <c r="EM109" s="46">
        <v>43</v>
      </c>
      <c r="EN109" s="46">
        <v>38</v>
      </c>
      <c r="EO109" s="46">
        <v>37</v>
      </c>
      <c r="EP109" s="46">
        <v>50</v>
      </c>
      <c r="EQ109" s="46">
        <v>48</v>
      </c>
      <c r="ER109" s="46">
        <v>46</v>
      </c>
      <c r="ES109" s="46">
        <v>45</v>
      </c>
      <c r="ET109" s="46">
        <v>125</v>
      </c>
      <c r="EU109" s="46">
        <v>141</v>
      </c>
      <c r="EV109" s="46">
        <v>118</v>
      </c>
      <c r="EW109" s="46">
        <v>144</v>
      </c>
      <c r="EX109" s="71">
        <v>123.74628564397551</v>
      </c>
      <c r="EY109" s="71">
        <v>122.6740594912178</v>
      </c>
      <c r="EZ109" s="71">
        <v>121.60183333846011</v>
      </c>
      <c r="FA109" s="71">
        <v>120.52960718570242</v>
      </c>
      <c r="FB109" s="71">
        <v>119.45738103294472</v>
      </c>
      <c r="FC109" s="71">
        <v>118.38515488018703</v>
      </c>
      <c r="FD109" s="71">
        <v>117.31292872742934</v>
      </c>
      <c r="FE109" s="71">
        <v>116.24070257467162</v>
      </c>
      <c r="FF109" s="72">
        <v>37581</v>
      </c>
      <c r="FG109" s="72">
        <v>37015</v>
      </c>
      <c r="FH109" s="476">
        <v>37606</v>
      </c>
      <c r="FI109" s="476">
        <v>36928.707000000002</v>
      </c>
      <c r="FJ109" s="476">
        <v>36985.343999999997</v>
      </c>
      <c r="FK109" s="476">
        <v>37086.453000000001</v>
      </c>
    </row>
    <row r="110" spans="1:167">
      <c r="A110" s="73" t="s">
        <v>913</v>
      </c>
      <c r="B110" s="19" t="s">
        <v>914</v>
      </c>
      <c r="C110" s="74" t="s">
        <v>755</v>
      </c>
      <c r="D110" s="75" t="s">
        <v>381</v>
      </c>
      <c r="E110" s="76">
        <v>295</v>
      </c>
      <c r="F110" s="77">
        <v>310</v>
      </c>
      <c r="G110" s="410">
        <v>310</v>
      </c>
      <c r="H110" s="78">
        <v>33320</v>
      </c>
      <c r="I110" s="77">
        <v>34315</v>
      </c>
      <c r="J110" s="410">
        <v>34897</v>
      </c>
      <c r="K110" s="410">
        <v>35249.821000000004</v>
      </c>
      <c r="L110" s="418">
        <v>35744.223000000005</v>
      </c>
      <c r="M110" s="79">
        <v>885.3</v>
      </c>
      <c r="N110" s="80">
        <v>900.4</v>
      </c>
      <c r="O110" s="421">
        <v>906.3</v>
      </c>
      <c r="P110" s="71">
        <v>310</v>
      </c>
      <c r="Q110" s="75" t="s">
        <v>381</v>
      </c>
      <c r="R110" s="81">
        <v>445</v>
      </c>
      <c r="S110" s="77">
        <v>265</v>
      </c>
      <c r="T110" s="452">
        <v>150</v>
      </c>
      <c r="U110" s="77">
        <v>540</v>
      </c>
      <c r="V110" s="77">
        <v>335</v>
      </c>
      <c r="W110" s="452">
        <v>200</v>
      </c>
      <c r="X110" s="82">
        <v>82.7</v>
      </c>
      <c r="Y110" s="83">
        <v>78.8</v>
      </c>
      <c r="Z110" s="443">
        <v>73.599999999999994</v>
      </c>
      <c r="AA110" s="63">
        <v>272</v>
      </c>
      <c r="AB110" s="63">
        <v>335</v>
      </c>
      <c r="AC110" s="19" t="s">
        <v>381</v>
      </c>
      <c r="AD110" s="84">
        <v>600</v>
      </c>
      <c r="AE110" s="85">
        <v>484</v>
      </c>
      <c r="AF110" s="85">
        <v>616</v>
      </c>
      <c r="AG110" s="85">
        <v>562</v>
      </c>
      <c r="AH110" s="85">
        <v>505</v>
      </c>
      <c r="AI110" s="85">
        <v>399</v>
      </c>
      <c r="AJ110" s="85">
        <v>407</v>
      </c>
      <c r="AK110" s="85">
        <v>576</v>
      </c>
      <c r="AL110" s="96">
        <v>421</v>
      </c>
      <c r="AM110" s="96">
        <v>476</v>
      </c>
      <c r="AN110" s="96">
        <v>360</v>
      </c>
      <c r="AO110" s="96">
        <v>406</v>
      </c>
      <c r="AP110" s="96">
        <v>264</v>
      </c>
      <c r="AQ110" s="96">
        <v>300</v>
      </c>
      <c r="AR110" s="96">
        <v>228</v>
      </c>
      <c r="AS110" s="96">
        <v>329</v>
      </c>
      <c r="AT110" s="96">
        <v>469</v>
      </c>
      <c r="AU110" s="96">
        <v>445</v>
      </c>
      <c r="AV110" s="96">
        <v>422</v>
      </c>
      <c r="AW110" s="96">
        <v>392</v>
      </c>
      <c r="AX110" s="97">
        <v>315</v>
      </c>
      <c r="AY110" s="97">
        <v>295</v>
      </c>
      <c r="AZ110" s="97">
        <v>127</v>
      </c>
      <c r="BA110" s="97">
        <v>135</v>
      </c>
      <c r="BB110" s="97">
        <v>187</v>
      </c>
      <c r="BC110" s="97">
        <v>183</v>
      </c>
      <c r="BD110" s="87">
        <v>280</v>
      </c>
      <c r="BE110" s="87">
        <v>260</v>
      </c>
      <c r="BF110" s="87">
        <v>272</v>
      </c>
      <c r="BG110" s="87">
        <v>329</v>
      </c>
      <c r="BH110" s="87">
        <v>286</v>
      </c>
      <c r="BI110" s="87">
        <v>315</v>
      </c>
      <c r="BJ110" s="87">
        <v>516</v>
      </c>
      <c r="BK110" s="87">
        <v>472</v>
      </c>
      <c r="BL110" s="87">
        <v>576</v>
      </c>
      <c r="BM110" s="87">
        <v>386</v>
      </c>
      <c r="BN110" s="87">
        <v>411</v>
      </c>
      <c r="BO110" s="87">
        <v>518</v>
      </c>
      <c r="BP110" s="87">
        <v>341</v>
      </c>
      <c r="BQ110" s="87">
        <v>476</v>
      </c>
      <c r="BR110" s="96">
        <v>376</v>
      </c>
      <c r="BS110" s="96">
        <v>548</v>
      </c>
      <c r="BT110" s="96">
        <v>495</v>
      </c>
      <c r="BU110" s="96">
        <v>375</v>
      </c>
      <c r="BV110" s="67">
        <v>1564</v>
      </c>
      <c r="BW110" s="67">
        <v>1315</v>
      </c>
      <c r="BX110" s="67">
        <v>1193</v>
      </c>
      <c r="BY110" s="67">
        <v>1418</v>
      </c>
      <c r="BZ110" s="68">
        <v>1057.6268498942918</v>
      </c>
      <c r="CA110" s="68">
        <v>1043.4989429175475</v>
      </c>
      <c r="CB110" s="68">
        <v>1029.3710359408033</v>
      </c>
      <c r="CC110" s="68">
        <v>1015.2431289640592</v>
      </c>
      <c r="CD110" s="68">
        <v>1001.115221987315</v>
      </c>
      <c r="CE110" s="68">
        <v>986.9873150105708</v>
      </c>
      <c r="CF110" s="68">
        <v>972.85940803382664</v>
      </c>
      <c r="CG110" s="68">
        <v>958.73150105708237</v>
      </c>
      <c r="CH110" s="87">
        <v>185500</v>
      </c>
      <c r="CI110" s="467">
        <v>186744</v>
      </c>
      <c r="CJ110" s="467">
        <v>189546.32499999992</v>
      </c>
      <c r="CK110" s="467">
        <v>191525.83899999998</v>
      </c>
      <c r="CL110" s="468">
        <v>193409.66399999996</v>
      </c>
      <c r="CM110" s="19" t="s">
        <v>381</v>
      </c>
      <c r="CN110" s="70">
        <v>503</v>
      </c>
      <c r="CO110" s="70">
        <v>479</v>
      </c>
      <c r="CP110" s="70">
        <v>465</v>
      </c>
      <c r="CQ110" s="70">
        <v>481</v>
      </c>
      <c r="CR110" s="70">
        <v>417</v>
      </c>
      <c r="CS110" s="70">
        <v>470</v>
      </c>
      <c r="CT110" s="70">
        <v>571</v>
      </c>
      <c r="CU110" s="70">
        <v>578</v>
      </c>
      <c r="CV110" s="70">
        <v>591</v>
      </c>
      <c r="CW110" s="70">
        <v>496</v>
      </c>
      <c r="CX110" s="70">
        <v>518</v>
      </c>
      <c r="CY110" s="70">
        <v>637</v>
      </c>
      <c r="CZ110" s="70">
        <v>564</v>
      </c>
      <c r="DA110" s="70">
        <v>619</v>
      </c>
      <c r="DB110" s="70">
        <v>524</v>
      </c>
      <c r="DC110" s="70">
        <v>536</v>
      </c>
      <c r="DD110" s="70">
        <v>500</v>
      </c>
      <c r="DE110" s="70">
        <v>536</v>
      </c>
      <c r="DF110" s="70">
        <v>503</v>
      </c>
      <c r="DG110" s="70">
        <v>601</v>
      </c>
      <c r="DH110" s="70">
        <v>756</v>
      </c>
      <c r="DI110" s="70">
        <v>639</v>
      </c>
      <c r="DJ110" s="70">
        <v>545</v>
      </c>
      <c r="DK110" s="70">
        <v>609</v>
      </c>
      <c r="DL110" s="46">
        <v>565</v>
      </c>
      <c r="DM110" s="46">
        <v>530</v>
      </c>
      <c r="DN110" s="46">
        <v>504</v>
      </c>
      <c r="DO110" s="46">
        <v>468</v>
      </c>
      <c r="DP110" s="46">
        <v>478</v>
      </c>
      <c r="DQ110" s="46">
        <v>450</v>
      </c>
      <c r="DR110" s="46">
        <v>523</v>
      </c>
      <c r="DS110" s="46">
        <v>558</v>
      </c>
      <c r="DT110" s="46">
        <v>638</v>
      </c>
      <c r="DU110" s="46">
        <v>571</v>
      </c>
      <c r="DV110" s="46">
        <v>649</v>
      </c>
      <c r="DW110" s="46">
        <v>582</v>
      </c>
      <c r="DX110" s="46">
        <v>510</v>
      </c>
      <c r="DY110" s="46">
        <v>589</v>
      </c>
      <c r="DZ110" s="46">
        <v>536</v>
      </c>
      <c r="EA110" s="46">
        <v>551</v>
      </c>
      <c r="EB110" s="46">
        <v>503</v>
      </c>
      <c r="EC110" s="46">
        <v>525</v>
      </c>
      <c r="ED110" s="46">
        <v>595</v>
      </c>
      <c r="EE110" s="46">
        <v>618</v>
      </c>
      <c r="EF110" s="46">
        <v>653</v>
      </c>
      <c r="EG110" s="46">
        <v>595</v>
      </c>
      <c r="EH110" s="46">
        <v>496</v>
      </c>
      <c r="EI110" s="46">
        <v>626</v>
      </c>
      <c r="EJ110" s="46">
        <v>616</v>
      </c>
      <c r="EK110" s="46">
        <v>488</v>
      </c>
      <c r="EL110" s="46">
        <v>459</v>
      </c>
      <c r="EM110" s="46">
        <v>503</v>
      </c>
      <c r="EN110" s="46">
        <v>472</v>
      </c>
      <c r="EO110" s="46">
        <v>489</v>
      </c>
      <c r="EP110" s="46">
        <v>577</v>
      </c>
      <c r="EQ110" s="46">
        <v>608</v>
      </c>
      <c r="ER110" s="46">
        <v>689</v>
      </c>
      <c r="ES110" s="46">
        <v>552</v>
      </c>
      <c r="ET110" s="46">
        <v>1717</v>
      </c>
      <c r="EU110" s="46">
        <v>1563</v>
      </c>
      <c r="EV110" s="46">
        <v>1464</v>
      </c>
      <c r="EW110" s="46">
        <v>1874</v>
      </c>
      <c r="EX110" s="71">
        <v>1725.7259835737793</v>
      </c>
      <c r="EY110" s="71">
        <v>1732.6969762219692</v>
      </c>
      <c r="EZ110" s="71">
        <v>1739.6679688701588</v>
      </c>
      <c r="FA110" s="71">
        <v>1746.6389615183484</v>
      </c>
      <c r="FB110" s="71">
        <v>1753.6099541665385</v>
      </c>
      <c r="FC110" s="71">
        <v>1760.5809468147281</v>
      </c>
      <c r="FD110" s="71">
        <v>1767.5519394629177</v>
      </c>
      <c r="FE110" s="71">
        <v>1774.5229321111078</v>
      </c>
      <c r="FF110" s="72">
        <v>234487</v>
      </c>
      <c r="FG110" s="72">
        <v>237085</v>
      </c>
      <c r="FH110" s="476">
        <v>239013</v>
      </c>
      <c r="FI110" s="476">
        <v>242140.65400000001</v>
      </c>
      <c r="FJ110" s="476">
        <v>244716.47399999999</v>
      </c>
      <c r="FK110" s="476">
        <v>247338.76500000001</v>
      </c>
    </row>
    <row r="111" spans="1:167">
      <c r="A111" s="73" t="s">
        <v>909</v>
      </c>
      <c r="B111" s="19" t="s">
        <v>910</v>
      </c>
      <c r="C111" s="74" t="s">
        <v>756</v>
      </c>
      <c r="D111" s="75" t="s">
        <v>384</v>
      </c>
      <c r="E111" s="76">
        <v>285</v>
      </c>
      <c r="F111" s="77">
        <v>320</v>
      </c>
      <c r="G111" s="410">
        <v>290</v>
      </c>
      <c r="H111" s="78">
        <v>47015</v>
      </c>
      <c r="I111" s="77">
        <v>47625</v>
      </c>
      <c r="J111" s="410">
        <v>48046</v>
      </c>
      <c r="K111" s="410">
        <v>48659.07699999999</v>
      </c>
      <c r="L111" s="418">
        <v>49157.76400000001</v>
      </c>
      <c r="M111" s="79">
        <v>610.4</v>
      </c>
      <c r="N111" s="80">
        <v>674</v>
      </c>
      <c r="O111" s="421">
        <v>611</v>
      </c>
      <c r="P111" s="71">
        <v>320</v>
      </c>
      <c r="Q111" s="75" t="s">
        <v>384</v>
      </c>
      <c r="R111" s="81">
        <v>110</v>
      </c>
      <c r="S111" s="77">
        <v>150</v>
      </c>
      <c r="T111" s="452">
        <v>145</v>
      </c>
      <c r="U111" s="77">
        <v>135</v>
      </c>
      <c r="V111" s="77">
        <v>205</v>
      </c>
      <c r="W111" s="452">
        <v>215</v>
      </c>
      <c r="X111" s="82">
        <v>83.6</v>
      </c>
      <c r="Y111" s="83">
        <v>72.7</v>
      </c>
      <c r="Z111" s="443">
        <v>68.099999999999994</v>
      </c>
      <c r="AA111" s="63">
        <v>164</v>
      </c>
      <c r="AB111" s="63">
        <v>205</v>
      </c>
      <c r="AC111" s="19" t="s">
        <v>384</v>
      </c>
      <c r="AD111" s="84">
        <v>1355</v>
      </c>
      <c r="AE111" s="85">
        <v>1669</v>
      </c>
      <c r="AF111" s="85">
        <v>1709</v>
      </c>
      <c r="AG111" s="85">
        <v>1775</v>
      </c>
      <c r="AH111" s="85">
        <v>1623</v>
      </c>
      <c r="AI111" s="85">
        <v>1370</v>
      </c>
      <c r="AJ111" s="85">
        <v>1727</v>
      </c>
      <c r="AK111" s="85">
        <v>2101</v>
      </c>
      <c r="AL111" s="96">
        <v>1729</v>
      </c>
      <c r="AM111" s="96">
        <v>1635</v>
      </c>
      <c r="AN111" s="96">
        <v>1988</v>
      </c>
      <c r="AO111" s="96">
        <v>2145</v>
      </c>
      <c r="AP111" s="96">
        <v>2391</v>
      </c>
      <c r="AQ111" s="96">
        <v>1747</v>
      </c>
      <c r="AR111" s="96">
        <v>1119</v>
      </c>
      <c r="AS111" s="96">
        <v>1380</v>
      </c>
      <c r="AT111" s="96">
        <v>1679</v>
      </c>
      <c r="AU111" s="96">
        <v>1401</v>
      </c>
      <c r="AV111" s="96">
        <v>1336</v>
      </c>
      <c r="AW111" s="96">
        <v>1150</v>
      </c>
      <c r="AX111" s="97">
        <v>1021</v>
      </c>
      <c r="AY111" s="97">
        <v>1304</v>
      </c>
      <c r="AZ111" s="97">
        <v>704</v>
      </c>
      <c r="BA111" s="97">
        <v>704</v>
      </c>
      <c r="BB111" s="97">
        <v>600</v>
      </c>
      <c r="BC111" s="97">
        <v>766</v>
      </c>
      <c r="BD111" s="87">
        <v>525</v>
      </c>
      <c r="BE111" s="87">
        <v>710</v>
      </c>
      <c r="BF111" s="87">
        <v>940</v>
      </c>
      <c r="BG111" s="87">
        <v>898</v>
      </c>
      <c r="BH111" s="87">
        <v>695</v>
      </c>
      <c r="BI111" s="87">
        <v>750</v>
      </c>
      <c r="BJ111" s="87">
        <v>767</v>
      </c>
      <c r="BK111" s="87">
        <v>776</v>
      </c>
      <c r="BL111" s="87">
        <v>704</v>
      </c>
      <c r="BM111" s="87">
        <v>602</v>
      </c>
      <c r="BN111" s="87">
        <v>916</v>
      </c>
      <c r="BO111" s="87">
        <v>864</v>
      </c>
      <c r="BP111" s="87">
        <v>735</v>
      </c>
      <c r="BQ111" s="87">
        <v>632</v>
      </c>
      <c r="BR111" s="96">
        <v>667</v>
      </c>
      <c r="BS111" s="96">
        <v>792</v>
      </c>
      <c r="BT111" s="96">
        <v>798</v>
      </c>
      <c r="BU111" s="96">
        <v>915</v>
      </c>
      <c r="BV111" s="67">
        <v>2247</v>
      </c>
      <c r="BW111" s="67">
        <v>2382</v>
      </c>
      <c r="BX111" s="67">
        <v>2034</v>
      </c>
      <c r="BY111" s="67">
        <v>2505</v>
      </c>
      <c r="BZ111" s="68">
        <v>1328.8503171247357</v>
      </c>
      <c r="CA111" s="68">
        <v>1047.4985200845665</v>
      </c>
      <c r="CB111" s="68">
        <v>766.14672304439728</v>
      </c>
      <c r="CC111" s="68">
        <v>484.79492600422873</v>
      </c>
      <c r="CD111" s="68">
        <v>203.4431289640595</v>
      </c>
      <c r="CE111" s="68">
        <v>0</v>
      </c>
      <c r="CF111" s="68">
        <v>0</v>
      </c>
      <c r="CG111" s="68">
        <v>0</v>
      </c>
      <c r="CH111" s="87">
        <v>235600</v>
      </c>
      <c r="CI111" s="467">
        <v>237462</v>
      </c>
      <c r="CJ111" s="467">
        <v>239599.03299999997</v>
      </c>
      <c r="CK111" s="467">
        <v>241665.64</v>
      </c>
      <c r="CL111" s="468">
        <v>243715.27599999998</v>
      </c>
      <c r="CM111" s="19" t="s">
        <v>384</v>
      </c>
      <c r="CN111" s="70">
        <v>664</v>
      </c>
      <c r="CO111" s="70">
        <v>635</v>
      </c>
      <c r="CP111" s="70">
        <v>616</v>
      </c>
      <c r="CQ111" s="70">
        <v>604</v>
      </c>
      <c r="CR111" s="70">
        <v>583</v>
      </c>
      <c r="CS111" s="70">
        <v>656</v>
      </c>
      <c r="CT111" s="70">
        <v>702</v>
      </c>
      <c r="CU111" s="70">
        <v>725</v>
      </c>
      <c r="CV111" s="70">
        <v>885</v>
      </c>
      <c r="CW111" s="70">
        <v>704</v>
      </c>
      <c r="CX111" s="70">
        <v>712</v>
      </c>
      <c r="CY111" s="70">
        <v>719</v>
      </c>
      <c r="CZ111" s="70">
        <v>712</v>
      </c>
      <c r="DA111" s="70">
        <v>664</v>
      </c>
      <c r="DB111" s="70">
        <v>661</v>
      </c>
      <c r="DC111" s="70">
        <v>666</v>
      </c>
      <c r="DD111" s="70">
        <v>597</v>
      </c>
      <c r="DE111" s="70">
        <v>663</v>
      </c>
      <c r="DF111" s="70">
        <v>700</v>
      </c>
      <c r="DG111" s="70">
        <v>701</v>
      </c>
      <c r="DH111" s="70">
        <v>878</v>
      </c>
      <c r="DI111" s="70">
        <v>748</v>
      </c>
      <c r="DJ111" s="70">
        <v>688</v>
      </c>
      <c r="DK111" s="70">
        <v>727</v>
      </c>
      <c r="DL111" s="46">
        <v>670</v>
      </c>
      <c r="DM111" s="46">
        <v>664</v>
      </c>
      <c r="DN111" s="46">
        <v>617</v>
      </c>
      <c r="DO111" s="46">
        <v>620</v>
      </c>
      <c r="DP111" s="46">
        <v>591</v>
      </c>
      <c r="DQ111" s="46">
        <v>618</v>
      </c>
      <c r="DR111" s="46">
        <v>718</v>
      </c>
      <c r="DS111" s="46">
        <v>683</v>
      </c>
      <c r="DT111" s="46">
        <v>824</v>
      </c>
      <c r="DU111" s="46">
        <v>833</v>
      </c>
      <c r="DV111" s="46">
        <v>811</v>
      </c>
      <c r="DW111" s="46">
        <v>741</v>
      </c>
      <c r="DX111" s="46">
        <v>767</v>
      </c>
      <c r="DY111" s="46">
        <v>782</v>
      </c>
      <c r="DZ111" s="46">
        <v>711</v>
      </c>
      <c r="EA111" s="46">
        <v>758</v>
      </c>
      <c r="EB111" s="46">
        <v>667</v>
      </c>
      <c r="EC111" s="46">
        <v>677</v>
      </c>
      <c r="ED111" s="46">
        <v>799</v>
      </c>
      <c r="EE111" s="46">
        <v>898</v>
      </c>
      <c r="EF111" s="46">
        <v>923</v>
      </c>
      <c r="EG111" s="46">
        <v>776</v>
      </c>
      <c r="EH111" s="46">
        <v>712</v>
      </c>
      <c r="EI111" s="46">
        <v>857</v>
      </c>
      <c r="EJ111" s="46">
        <v>830</v>
      </c>
      <c r="EK111" s="46">
        <v>704</v>
      </c>
      <c r="EL111" s="46">
        <v>691</v>
      </c>
      <c r="EM111" s="46">
        <v>681</v>
      </c>
      <c r="EN111" s="46">
        <v>632</v>
      </c>
      <c r="EO111" s="46">
        <v>669</v>
      </c>
      <c r="EP111" s="46">
        <v>730</v>
      </c>
      <c r="EQ111" s="46">
        <v>844</v>
      </c>
      <c r="ER111" s="46">
        <v>871</v>
      </c>
      <c r="ES111" s="46">
        <v>775</v>
      </c>
      <c r="ET111" s="46">
        <v>2345</v>
      </c>
      <c r="EU111" s="46">
        <v>2225</v>
      </c>
      <c r="EV111" s="46">
        <v>1982</v>
      </c>
      <c r="EW111" s="46">
        <v>2445</v>
      </c>
      <c r="EX111" s="71">
        <v>2365.786582177243</v>
      </c>
      <c r="EY111" s="71">
        <v>2384.8109139007661</v>
      </c>
      <c r="EZ111" s="71">
        <v>2403.8352456242887</v>
      </c>
      <c r="FA111" s="71">
        <v>2422.8595773478114</v>
      </c>
      <c r="FB111" s="71">
        <v>2441.8839090713345</v>
      </c>
      <c r="FC111" s="71">
        <v>2460.9082407948572</v>
      </c>
      <c r="FD111" s="71">
        <v>2479.9325725183799</v>
      </c>
      <c r="FE111" s="71">
        <v>2498.9569042419025</v>
      </c>
      <c r="FF111" s="72">
        <v>309042</v>
      </c>
      <c r="FG111" s="72">
        <v>311304</v>
      </c>
      <c r="FH111" s="476">
        <v>314329</v>
      </c>
      <c r="FI111" s="476">
        <v>316726.75599999999</v>
      </c>
      <c r="FJ111" s="476">
        <v>319570.96500000003</v>
      </c>
      <c r="FK111" s="476">
        <v>322543.61599999998</v>
      </c>
    </row>
    <row r="112" spans="1:167">
      <c r="A112" s="73" t="s">
        <v>948</v>
      </c>
      <c r="B112" s="19" t="s">
        <v>949</v>
      </c>
      <c r="C112" s="74" t="s">
        <v>757</v>
      </c>
      <c r="D112" s="75" t="s">
        <v>387</v>
      </c>
      <c r="E112" s="76">
        <v>520</v>
      </c>
      <c r="F112" s="77">
        <v>485</v>
      </c>
      <c r="G112" s="410">
        <v>485</v>
      </c>
      <c r="H112" s="78">
        <v>57365</v>
      </c>
      <c r="I112" s="77">
        <v>59130</v>
      </c>
      <c r="J112" s="410">
        <v>60189</v>
      </c>
      <c r="K112" s="410">
        <v>61188.698999999993</v>
      </c>
      <c r="L112" s="418">
        <v>62102.954000000012</v>
      </c>
      <c r="M112" s="79">
        <v>903</v>
      </c>
      <c r="N112" s="80">
        <v>821.9</v>
      </c>
      <c r="O112" s="421">
        <v>818.5</v>
      </c>
      <c r="P112" s="71">
        <v>0</v>
      </c>
      <c r="Q112" s="75" t="s">
        <v>387</v>
      </c>
      <c r="R112" s="81">
        <v>335</v>
      </c>
      <c r="S112" s="77">
        <v>270</v>
      </c>
      <c r="T112" s="452">
        <v>185</v>
      </c>
      <c r="U112" s="77">
        <v>385</v>
      </c>
      <c r="V112" s="77">
        <v>310</v>
      </c>
      <c r="W112" s="452">
        <v>200</v>
      </c>
      <c r="X112" s="82">
        <v>87.7</v>
      </c>
      <c r="Y112" s="83">
        <v>87.1</v>
      </c>
      <c r="Z112" s="443">
        <v>91</v>
      </c>
      <c r="AA112" s="63">
        <v>0</v>
      </c>
      <c r="AB112" s="63">
        <v>0</v>
      </c>
      <c r="AC112" s="19" t="s">
        <v>387</v>
      </c>
      <c r="AD112" s="84">
        <v>378</v>
      </c>
      <c r="AE112" s="85">
        <v>449</v>
      </c>
      <c r="AF112" s="85">
        <v>368</v>
      </c>
      <c r="AG112" s="85">
        <v>299</v>
      </c>
      <c r="AH112" s="85">
        <v>252</v>
      </c>
      <c r="AI112" s="85">
        <v>219</v>
      </c>
      <c r="AJ112" s="85">
        <v>267</v>
      </c>
      <c r="AK112" s="85">
        <v>271</v>
      </c>
      <c r="AL112" s="96">
        <v>339</v>
      </c>
      <c r="AM112" s="96">
        <v>246</v>
      </c>
      <c r="AN112" s="96">
        <v>138</v>
      </c>
      <c r="AO112" s="96">
        <v>263</v>
      </c>
      <c r="AP112" s="96">
        <v>395</v>
      </c>
      <c r="AQ112" s="96">
        <v>352</v>
      </c>
      <c r="AR112" s="96">
        <v>349</v>
      </c>
      <c r="AS112" s="96">
        <v>222</v>
      </c>
      <c r="AT112" s="96">
        <v>238</v>
      </c>
      <c r="AU112" s="96">
        <v>297</v>
      </c>
      <c r="AV112" s="96">
        <v>302</v>
      </c>
      <c r="AW112" s="96">
        <v>339</v>
      </c>
      <c r="AX112" s="97">
        <v>254</v>
      </c>
      <c r="AY112" s="97">
        <v>156</v>
      </c>
      <c r="AZ112" s="97">
        <v>341</v>
      </c>
      <c r="BA112" s="97">
        <v>509</v>
      </c>
      <c r="BB112" s="97">
        <v>412</v>
      </c>
      <c r="BC112" s="97">
        <v>481</v>
      </c>
      <c r="BD112" s="87">
        <v>436</v>
      </c>
      <c r="BE112" s="87">
        <v>392</v>
      </c>
      <c r="BF112" s="87">
        <v>389</v>
      </c>
      <c r="BG112" s="87">
        <v>562</v>
      </c>
      <c r="BH112" s="87">
        <v>466</v>
      </c>
      <c r="BI112" s="87">
        <v>486</v>
      </c>
      <c r="BJ112" s="87">
        <v>537</v>
      </c>
      <c r="BK112" s="87">
        <v>413</v>
      </c>
      <c r="BL112" s="87">
        <v>477</v>
      </c>
      <c r="BM112" s="87">
        <v>326</v>
      </c>
      <c r="BN112" s="87">
        <v>326</v>
      </c>
      <c r="BO112" s="87">
        <v>434</v>
      </c>
      <c r="BP112" s="87">
        <v>526</v>
      </c>
      <c r="BQ112" s="87">
        <v>479</v>
      </c>
      <c r="BR112" s="96">
        <v>478</v>
      </c>
      <c r="BS112" s="96">
        <v>447</v>
      </c>
      <c r="BT112" s="96">
        <v>430</v>
      </c>
      <c r="BU112" s="96">
        <v>680</v>
      </c>
      <c r="BV112" s="67">
        <v>1427</v>
      </c>
      <c r="BW112" s="67">
        <v>1086</v>
      </c>
      <c r="BX112" s="67">
        <v>1483</v>
      </c>
      <c r="BY112" s="67">
        <v>1557</v>
      </c>
      <c r="BZ112" s="68">
        <v>1511.0862579281184</v>
      </c>
      <c r="CA112" s="68">
        <v>1561.0701902748415</v>
      </c>
      <c r="CB112" s="68">
        <v>1611.0541226215648</v>
      </c>
      <c r="CC112" s="68">
        <v>1661.0380549682875</v>
      </c>
      <c r="CD112" s="68">
        <v>1711.0219873150108</v>
      </c>
      <c r="CE112" s="68">
        <v>1761.005919661734</v>
      </c>
      <c r="CF112" s="68">
        <v>1810.9898520084569</v>
      </c>
      <c r="CG112" s="68">
        <v>1860.9737843551798</v>
      </c>
      <c r="CH112" s="87">
        <v>219900</v>
      </c>
      <c r="CI112" s="467">
        <v>219646</v>
      </c>
      <c r="CJ112" s="467">
        <v>220482.94799999992</v>
      </c>
      <c r="CK112" s="467">
        <v>221017.40899999999</v>
      </c>
      <c r="CL112" s="468">
        <v>221321.20899999997</v>
      </c>
      <c r="CM112" s="19" t="s">
        <v>387</v>
      </c>
      <c r="CN112" s="70">
        <v>580</v>
      </c>
      <c r="CO112" s="70">
        <v>589</v>
      </c>
      <c r="CP112" s="70">
        <v>514</v>
      </c>
      <c r="CQ112" s="70">
        <v>560</v>
      </c>
      <c r="CR112" s="70">
        <v>527</v>
      </c>
      <c r="CS112" s="70">
        <v>540</v>
      </c>
      <c r="CT112" s="70">
        <v>588</v>
      </c>
      <c r="CU112" s="70">
        <v>661</v>
      </c>
      <c r="CV112" s="70">
        <v>731</v>
      </c>
      <c r="CW112" s="70">
        <v>621</v>
      </c>
      <c r="CX112" s="70">
        <v>579</v>
      </c>
      <c r="CY112" s="70">
        <v>667</v>
      </c>
      <c r="CZ112" s="70">
        <v>623</v>
      </c>
      <c r="DA112" s="70">
        <v>616</v>
      </c>
      <c r="DB112" s="70">
        <v>569</v>
      </c>
      <c r="DC112" s="70">
        <v>547</v>
      </c>
      <c r="DD112" s="70">
        <v>559</v>
      </c>
      <c r="DE112" s="70">
        <v>582</v>
      </c>
      <c r="DF112" s="70">
        <v>561</v>
      </c>
      <c r="DG112" s="70">
        <v>617</v>
      </c>
      <c r="DH112" s="70">
        <v>710</v>
      </c>
      <c r="DI112" s="70">
        <v>675</v>
      </c>
      <c r="DJ112" s="70">
        <v>587</v>
      </c>
      <c r="DK112" s="70">
        <v>626</v>
      </c>
      <c r="DL112" s="46">
        <v>573</v>
      </c>
      <c r="DM112" s="46">
        <v>499</v>
      </c>
      <c r="DN112" s="46">
        <v>508</v>
      </c>
      <c r="DO112" s="46">
        <v>504</v>
      </c>
      <c r="DP112" s="46">
        <v>521</v>
      </c>
      <c r="DQ112" s="46">
        <v>530</v>
      </c>
      <c r="DR112" s="46">
        <v>516</v>
      </c>
      <c r="DS112" s="46">
        <v>554</v>
      </c>
      <c r="DT112" s="46">
        <v>600</v>
      </c>
      <c r="DU112" s="46">
        <v>620</v>
      </c>
      <c r="DV112" s="46">
        <v>603</v>
      </c>
      <c r="DW112" s="46">
        <v>578</v>
      </c>
      <c r="DX112" s="46">
        <v>609</v>
      </c>
      <c r="DY112" s="46">
        <v>591</v>
      </c>
      <c r="DZ112" s="46">
        <v>585</v>
      </c>
      <c r="EA112" s="46">
        <v>556</v>
      </c>
      <c r="EB112" s="46">
        <v>562</v>
      </c>
      <c r="EC112" s="46">
        <v>555</v>
      </c>
      <c r="ED112" s="46">
        <v>629</v>
      </c>
      <c r="EE112" s="46">
        <v>708</v>
      </c>
      <c r="EF112" s="46">
        <v>696</v>
      </c>
      <c r="EG112" s="46">
        <v>685</v>
      </c>
      <c r="EH112" s="46">
        <v>628</v>
      </c>
      <c r="EI112" s="46">
        <v>567</v>
      </c>
      <c r="EJ112" s="46">
        <v>642</v>
      </c>
      <c r="EK112" s="46">
        <v>588</v>
      </c>
      <c r="EL112" s="46">
        <v>516</v>
      </c>
      <c r="EM112" s="46">
        <v>547</v>
      </c>
      <c r="EN112" s="46">
        <v>570</v>
      </c>
      <c r="EO112" s="46">
        <v>531</v>
      </c>
      <c r="EP112" s="46">
        <v>589</v>
      </c>
      <c r="EQ112" s="46">
        <v>634</v>
      </c>
      <c r="ER112" s="46">
        <v>709</v>
      </c>
      <c r="ES112" s="46">
        <v>618</v>
      </c>
      <c r="ET112" s="46">
        <v>1880</v>
      </c>
      <c r="EU112" s="46">
        <v>1746</v>
      </c>
      <c r="EV112" s="46">
        <v>1648</v>
      </c>
      <c r="EW112" s="46">
        <v>1932</v>
      </c>
      <c r="EX112" s="71">
        <v>1809.1091697683721</v>
      </c>
      <c r="EY112" s="71">
        <v>1812.0985573225878</v>
      </c>
      <c r="EZ112" s="71">
        <v>1815.0879448768037</v>
      </c>
      <c r="FA112" s="71">
        <v>1818.0773324310194</v>
      </c>
      <c r="FB112" s="71">
        <v>1821.0667199852351</v>
      </c>
      <c r="FC112" s="71">
        <v>1824.0561075394507</v>
      </c>
      <c r="FD112" s="71">
        <v>1827.0454950936664</v>
      </c>
      <c r="FE112" s="71">
        <v>1830.0348826478826</v>
      </c>
      <c r="FF112" s="72">
        <v>273969</v>
      </c>
      <c r="FG112" s="72">
        <v>273697</v>
      </c>
      <c r="FH112" s="476">
        <v>273207</v>
      </c>
      <c r="FI112" s="476">
        <v>273623.571</v>
      </c>
      <c r="FJ112" s="476">
        <v>273795.98200000002</v>
      </c>
      <c r="FK112" s="476">
        <v>274012.38900000002</v>
      </c>
    </row>
    <row r="113" spans="1:167">
      <c r="A113" s="73" t="s">
        <v>901</v>
      </c>
      <c r="B113" s="19" t="s">
        <v>902</v>
      </c>
      <c r="C113" s="74" t="s">
        <v>758</v>
      </c>
      <c r="D113" s="75" t="s">
        <v>390</v>
      </c>
      <c r="E113" s="76">
        <v>380</v>
      </c>
      <c r="F113" s="77">
        <v>685</v>
      </c>
      <c r="G113" s="410">
        <v>610</v>
      </c>
      <c r="H113" s="78">
        <v>86185</v>
      </c>
      <c r="I113" s="77">
        <v>88420</v>
      </c>
      <c r="J113" s="410">
        <v>89893</v>
      </c>
      <c r="K113" s="410">
        <v>91083.81</v>
      </c>
      <c r="L113" s="418">
        <v>92084.095999999976</v>
      </c>
      <c r="M113" s="79">
        <v>443.2</v>
      </c>
      <c r="N113" s="80">
        <v>775.8</v>
      </c>
      <c r="O113" s="421">
        <v>688.8</v>
      </c>
      <c r="P113" s="71">
        <v>560</v>
      </c>
      <c r="Q113" s="75" t="s">
        <v>390</v>
      </c>
      <c r="R113" s="81">
        <v>590</v>
      </c>
      <c r="S113" s="77">
        <v>660</v>
      </c>
      <c r="T113" s="452">
        <v>545</v>
      </c>
      <c r="U113" s="77">
        <v>685</v>
      </c>
      <c r="V113" s="77">
        <v>860</v>
      </c>
      <c r="W113" s="452">
        <v>795</v>
      </c>
      <c r="X113" s="82">
        <v>86.2</v>
      </c>
      <c r="Y113" s="83">
        <v>76.8</v>
      </c>
      <c r="Z113" s="443">
        <v>69</v>
      </c>
      <c r="AA113" s="63">
        <v>714</v>
      </c>
      <c r="AB113" s="63">
        <v>860</v>
      </c>
      <c r="AC113" s="19" t="s">
        <v>390</v>
      </c>
      <c r="AD113" s="84">
        <v>909</v>
      </c>
      <c r="AE113" s="85">
        <v>855</v>
      </c>
      <c r="AF113" s="85">
        <v>766</v>
      </c>
      <c r="AG113" s="85">
        <v>210</v>
      </c>
      <c r="AH113" s="85">
        <v>1064</v>
      </c>
      <c r="AI113" s="85">
        <v>1099</v>
      </c>
      <c r="AJ113" s="85">
        <v>1028</v>
      </c>
      <c r="AK113" s="85">
        <v>648</v>
      </c>
      <c r="AL113" s="96">
        <v>434</v>
      </c>
      <c r="AM113" s="96">
        <v>484</v>
      </c>
      <c r="AN113" s="96">
        <v>417</v>
      </c>
      <c r="AO113" s="96">
        <v>500</v>
      </c>
      <c r="AP113" s="96">
        <v>530</v>
      </c>
      <c r="AQ113" s="96">
        <v>513</v>
      </c>
      <c r="AR113" s="96">
        <v>411</v>
      </c>
      <c r="AS113" s="96">
        <v>564</v>
      </c>
      <c r="AT113" s="96">
        <v>415</v>
      </c>
      <c r="AU113" s="96">
        <v>516</v>
      </c>
      <c r="AV113" s="96">
        <v>462</v>
      </c>
      <c r="AW113" s="96">
        <v>453</v>
      </c>
      <c r="AX113" s="97">
        <v>472</v>
      </c>
      <c r="AY113" s="97">
        <v>569</v>
      </c>
      <c r="AZ113" s="97">
        <v>636</v>
      </c>
      <c r="BA113" s="97">
        <v>620</v>
      </c>
      <c r="BB113" s="97">
        <v>455</v>
      </c>
      <c r="BC113" s="97">
        <v>319</v>
      </c>
      <c r="BD113" s="87">
        <v>343</v>
      </c>
      <c r="BE113" s="87">
        <v>405</v>
      </c>
      <c r="BF113" s="87">
        <v>427</v>
      </c>
      <c r="BG113" s="87">
        <v>481</v>
      </c>
      <c r="BH113" s="87">
        <v>287</v>
      </c>
      <c r="BI113" s="87">
        <v>298</v>
      </c>
      <c r="BJ113" s="87">
        <v>434</v>
      </c>
      <c r="BK113" s="87">
        <v>395</v>
      </c>
      <c r="BL113" s="87">
        <v>494</v>
      </c>
      <c r="BM113" s="87">
        <v>578</v>
      </c>
      <c r="BN113" s="87">
        <v>2681</v>
      </c>
      <c r="BO113" s="87">
        <v>2207</v>
      </c>
      <c r="BP113" s="87">
        <v>3056</v>
      </c>
      <c r="BQ113" s="87">
        <v>2266</v>
      </c>
      <c r="BR113" s="96">
        <v>2844</v>
      </c>
      <c r="BS113" s="96">
        <v>3563</v>
      </c>
      <c r="BT113" s="96">
        <v>3440</v>
      </c>
      <c r="BU113" s="96">
        <v>2941</v>
      </c>
      <c r="BV113" s="67">
        <v>1323</v>
      </c>
      <c r="BW113" s="67">
        <v>5466</v>
      </c>
      <c r="BX113" s="67">
        <v>8166</v>
      </c>
      <c r="BY113" s="67">
        <v>9944</v>
      </c>
      <c r="BZ113" s="68">
        <v>5844.0511627906972</v>
      </c>
      <c r="CA113" s="68">
        <v>6220.2733615221987</v>
      </c>
      <c r="CB113" s="68">
        <v>6596.4955602536993</v>
      </c>
      <c r="CC113" s="68">
        <v>6972.7177589851999</v>
      </c>
      <c r="CD113" s="68">
        <v>7348.9399577167005</v>
      </c>
      <c r="CE113" s="68">
        <v>7725.1621564482039</v>
      </c>
      <c r="CF113" s="68">
        <v>8101.3843551797045</v>
      </c>
      <c r="CG113" s="68">
        <v>8477.606553911206</v>
      </c>
      <c r="CH113" s="87">
        <v>443400</v>
      </c>
      <c r="CI113" s="467">
        <v>445431</v>
      </c>
      <c r="CJ113" s="467">
        <v>449009.32000000012</v>
      </c>
      <c r="CK113" s="467">
        <v>451720.02999999997</v>
      </c>
      <c r="CL113" s="468">
        <v>454518.41099999985</v>
      </c>
      <c r="CM113" s="19" t="s">
        <v>390</v>
      </c>
      <c r="CN113" s="70">
        <v>983</v>
      </c>
      <c r="CO113" s="70">
        <v>1061</v>
      </c>
      <c r="CP113" s="70">
        <v>974</v>
      </c>
      <c r="CQ113" s="70">
        <v>1013</v>
      </c>
      <c r="CR113" s="70">
        <v>928</v>
      </c>
      <c r="CS113" s="70">
        <v>982</v>
      </c>
      <c r="CT113" s="70">
        <v>1155</v>
      </c>
      <c r="CU113" s="70">
        <v>1200</v>
      </c>
      <c r="CV113" s="70">
        <v>1257</v>
      </c>
      <c r="CW113" s="70">
        <v>1030</v>
      </c>
      <c r="CX113" s="70">
        <v>998</v>
      </c>
      <c r="CY113" s="70">
        <v>1083</v>
      </c>
      <c r="CZ113" s="70">
        <v>1032</v>
      </c>
      <c r="DA113" s="70">
        <v>1032</v>
      </c>
      <c r="DB113" s="70">
        <v>933</v>
      </c>
      <c r="DC113" s="70">
        <v>861</v>
      </c>
      <c r="DD113" s="70">
        <v>896</v>
      </c>
      <c r="DE113" s="70">
        <v>925</v>
      </c>
      <c r="DF113" s="70">
        <v>1057</v>
      </c>
      <c r="DG113" s="70">
        <v>1135</v>
      </c>
      <c r="DH113" s="70">
        <v>1221</v>
      </c>
      <c r="DI113" s="70">
        <v>1129</v>
      </c>
      <c r="DJ113" s="70">
        <v>1045</v>
      </c>
      <c r="DK113" s="70">
        <v>1030</v>
      </c>
      <c r="DL113" s="46">
        <v>1002</v>
      </c>
      <c r="DM113" s="46">
        <v>949</v>
      </c>
      <c r="DN113" s="46">
        <v>897</v>
      </c>
      <c r="DO113" s="46">
        <v>895</v>
      </c>
      <c r="DP113" s="46">
        <v>816</v>
      </c>
      <c r="DQ113" s="46">
        <v>887</v>
      </c>
      <c r="DR113" s="46">
        <v>953</v>
      </c>
      <c r="DS113" s="46">
        <v>1056</v>
      </c>
      <c r="DT113" s="46">
        <v>1265</v>
      </c>
      <c r="DU113" s="46">
        <v>1122</v>
      </c>
      <c r="DV113" s="46">
        <v>1226</v>
      </c>
      <c r="DW113" s="46">
        <v>1014</v>
      </c>
      <c r="DX113" s="46">
        <v>1112</v>
      </c>
      <c r="DY113" s="46">
        <v>1140</v>
      </c>
      <c r="DZ113" s="46">
        <v>1046</v>
      </c>
      <c r="EA113" s="46">
        <v>1129</v>
      </c>
      <c r="EB113" s="46">
        <v>933</v>
      </c>
      <c r="EC113" s="46">
        <v>1051</v>
      </c>
      <c r="ED113" s="46">
        <v>1217</v>
      </c>
      <c r="EE113" s="46">
        <v>1336</v>
      </c>
      <c r="EF113" s="46">
        <v>1370</v>
      </c>
      <c r="EG113" s="46">
        <v>1200</v>
      </c>
      <c r="EH113" s="46">
        <v>1137</v>
      </c>
      <c r="EI113" s="46">
        <v>1324</v>
      </c>
      <c r="EJ113" s="46">
        <v>1245</v>
      </c>
      <c r="EK113" s="46">
        <v>1198</v>
      </c>
      <c r="EL113" s="46">
        <v>1034</v>
      </c>
      <c r="EM113" s="46">
        <v>1031</v>
      </c>
      <c r="EN113" s="46">
        <v>978</v>
      </c>
      <c r="EO113" s="46">
        <v>966</v>
      </c>
      <c r="EP113" s="46">
        <v>1166</v>
      </c>
      <c r="EQ113" s="46">
        <v>1137</v>
      </c>
      <c r="ER113" s="46">
        <v>1226</v>
      </c>
      <c r="ES113" s="46">
        <v>979</v>
      </c>
      <c r="ET113" s="46">
        <v>3661</v>
      </c>
      <c r="EU113" s="46">
        <v>3477</v>
      </c>
      <c r="EV113" s="46">
        <v>2975</v>
      </c>
      <c r="EW113" s="46">
        <v>3529</v>
      </c>
      <c r="EX113" s="71">
        <v>3446.126088160202</v>
      </c>
      <c r="EY113" s="71">
        <v>3468.2231382078812</v>
      </c>
      <c r="EZ113" s="71">
        <v>3490.3201882555604</v>
      </c>
      <c r="FA113" s="71">
        <v>3512.4172383032396</v>
      </c>
      <c r="FB113" s="71">
        <v>3534.5142883509188</v>
      </c>
      <c r="FC113" s="71">
        <v>3556.611338398598</v>
      </c>
      <c r="FD113" s="71">
        <v>3578.7083884462763</v>
      </c>
      <c r="FE113" s="71">
        <v>3600.805438493956</v>
      </c>
      <c r="FF113" s="72">
        <v>551756</v>
      </c>
      <c r="FG113" s="72">
        <v>557382</v>
      </c>
      <c r="FH113" s="476">
        <v>560085</v>
      </c>
      <c r="FI113" s="476">
        <v>563817.11199999996</v>
      </c>
      <c r="FJ113" s="476">
        <v>566870.70499999996</v>
      </c>
      <c r="FK113" s="476">
        <v>570227.79</v>
      </c>
    </row>
    <row r="114" spans="1:167">
      <c r="A114" s="73" t="s">
        <v>954</v>
      </c>
      <c r="B114" s="19" t="s">
        <v>955</v>
      </c>
      <c r="C114" s="74" t="s">
        <v>759</v>
      </c>
      <c r="D114" s="75" t="s">
        <v>393</v>
      </c>
      <c r="E114" s="76">
        <v>540</v>
      </c>
      <c r="F114" s="77">
        <v>520</v>
      </c>
      <c r="G114" s="410">
        <v>500</v>
      </c>
      <c r="H114" s="78">
        <v>63930</v>
      </c>
      <c r="I114" s="77">
        <v>66475</v>
      </c>
      <c r="J114" s="410">
        <v>68668</v>
      </c>
      <c r="K114" s="410">
        <v>70883.409000000014</v>
      </c>
      <c r="L114" s="418">
        <v>72634.97</v>
      </c>
      <c r="M114" s="79">
        <v>841.6</v>
      </c>
      <c r="N114" s="80">
        <v>780.7</v>
      </c>
      <c r="O114" s="421">
        <v>749.2</v>
      </c>
      <c r="P114" s="71">
        <v>500</v>
      </c>
      <c r="Q114" s="75" t="s">
        <v>393</v>
      </c>
      <c r="R114" s="81">
        <v>60</v>
      </c>
      <c r="S114" s="77">
        <v>80</v>
      </c>
      <c r="T114" s="452">
        <v>120</v>
      </c>
      <c r="U114" s="77">
        <v>65</v>
      </c>
      <c r="V114" s="77">
        <v>125</v>
      </c>
      <c r="W114" s="452">
        <v>155</v>
      </c>
      <c r="X114" s="82">
        <v>89.2</v>
      </c>
      <c r="Y114" s="83">
        <v>64.599999999999994</v>
      </c>
      <c r="Z114" s="443">
        <v>76.8</v>
      </c>
      <c r="AA114" s="63">
        <v>93</v>
      </c>
      <c r="AB114" s="63">
        <v>125</v>
      </c>
      <c r="AC114" s="19" t="s">
        <v>393</v>
      </c>
      <c r="AD114" s="84">
        <v>606</v>
      </c>
      <c r="AE114" s="85">
        <v>650</v>
      </c>
      <c r="AF114" s="85">
        <v>609</v>
      </c>
      <c r="AG114" s="85">
        <v>861</v>
      </c>
      <c r="AH114" s="85">
        <v>621</v>
      </c>
      <c r="AI114" s="85">
        <v>683</v>
      </c>
      <c r="AJ114" s="85">
        <v>566</v>
      </c>
      <c r="AK114" s="85">
        <v>615</v>
      </c>
      <c r="AL114" s="96">
        <v>457</v>
      </c>
      <c r="AM114" s="96">
        <v>547</v>
      </c>
      <c r="AN114" s="96">
        <v>446</v>
      </c>
      <c r="AO114" s="96">
        <v>235</v>
      </c>
      <c r="AP114" s="96">
        <v>264</v>
      </c>
      <c r="AQ114" s="96">
        <v>277</v>
      </c>
      <c r="AR114" s="96">
        <v>551</v>
      </c>
      <c r="AS114" s="96">
        <v>607</v>
      </c>
      <c r="AT114" s="96">
        <v>551</v>
      </c>
      <c r="AU114" s="96">
        <v>621</v>
      </c>
      <c r="AV114" s="96">
        <v>496</v>
      </c>
      <c r="AW114" s="96">
        <v>607</v>
      </c>
      <c r="AX114" s="97">
        <v>553</v>
      </c>
      <c r="AY114" s="97">
        <v>557</v>
      </c>
      <c r="AZ114" s="97">
        <v>542</v>
      </c>
      <c r="BA114" s="97">
        <v>1056</v>
      </c>
      <c r="BB114" s="97">
        <v>821</v>
      </c>
      <c r="BC114" s="97">
        <v>618</v>
      </c>
      <c r="BD114" s="87">
        <v>1188</v>
      </c>
      <c r="BE114" s="87">
        <v>885</v>
      </c>
      <c r="BF114" s="87">
        <v>648</v>
      </c>
      <c r="BG114" s="87">
        <v>657</v>
      </c>
      <c r="BH114" s="87">
        <v>638</v>
      </c>
      <c r="BI114" s="87">
        <v>416</v>
      </c>
      <c r="BJ114" s="87">
        <v>775</v>
      </c>
      <c r="BK114" s="87">
        <v>907</v>
      </c>
      <c r="BL114" s="87">
        <v>604</v>
      </c>
      <c r="BM114" s="87">
        <v>459</v>
      </c>
      <c r="BN114" s="87">
        <v>523</v>
      </c>
      <c r="BO114" s="87">
        <v>751</v>
      </c>
      <c r="BP114" s="87">
        <v>481</v>
      </c>
      <c r="BQ114" s="87">
        <v>273</v>
      </c>
      <c r="BR114" s="96">
        <v>323</v>
      </c>
      <c r="BS114" s="96">
        <v>481</v>
      </c>
      <c r="BT114" s="96">
        <v>574</v>
      </c>
      <c r="BU114" s="96">
        <v>603</v>
      </c>
      <c r="BV114" s="67">
        <v>2286</v>
      </c>
      <c r="BW114" s="67">
        <v>1733</v>
      </c>
      <c r="BX114" s="67">
        <v>1077</v>
      </c>
      <c r="BY114" s="67">
        <v>1658</v>
      </c>
      <c r="BZ114" s="68">
        <v>1800.6930232558138</v>
      </c>
      <c r="CA114" s="68">
        <v>1802.4961945031712</v>
      </c>
      <c r="CB114" s="68">
        <v>1804.2993657505283</v>
      </c>
      <c r="CC114" s="68">
        <v>1806.1025369978856</v>
      </c>
      <c r="CD114" s="68">
        <v>1807.9057082452427</v>
      </c>
      <c r="CE114" s="68">
        <v>1809.7088794926003</v>
      </c>
      <c r="CF114" s="68">
        <v>1811.5120507399574</v>
      </c>
      <c r="CG114" s="68">
        <v>1813.315221987315</v>
      </c>
      <c r="CH114" s="87">
        <v>247700</v>
      </c>
      <c r="CI114" s="467">
        <v>248550</v>
      </c>
      <c r="CJ114" s="467">
        <v>250337.19</v>
      </c>
      <c r="CK114" s="467">
        <v>251893.26799999998</v>
      </c>
      <c r="CL114" s="468">
        <v>253354.27499999997</v>
      </c>
      <c r="CM114" s="19" t="s">
        <v>393</v>
      </c>
      <c r="CN114" s="70">
        <v>368</v>
      </c>
      <c r="CO114" s="70">
        <v>405</v>
      </c>
      <c r="CP114" s="70">
        <v>414</v>
      </c>
      <c r="CQ114" s="70">
        <v>392</v>
      </c>
      <c r="CR114" s="70">
        <v>351</v>
      </c>
      <c r="CS114" s="70">
        <v>352</v>
      </c>
      <c r="CT114" s="70">
        <v>399</v>
      </c>
      <c r="CU114" s="70">
        <v>434</v>
      </c>
      <c r="CV114" s="70">
        <v>470</v>
      </c>
      <c r="CW114" s="70">
        <v>490</v>
      </c>
      <c r="CX114" s="70">
        <v>406</v>
      </c>
      <c r="CY114" s="70">
        <v>436</v>
      </c>
      <c r="CZ114" s="70">
        <v>421</v>
      </c>
      <c r="DA114" s="70">
        <v>444</v>
      </c>
      <c r="DB114" s="70">
        <v>399</v>
      </c>
      <c r="DC114" s="70">
        <v>387</v>
      </c>
      <c r="DD114" s="70">
        <v>307</v>
      </c>
      <c r="DE114" s="70">
        <v>395</v>
      </c>
      <c r="DF114" s="70">
        <v>387</v>
      </c>
      <c r="DG114" s="70">
        <v>447</v>
      </c>
      <c r="DH114" s="70">
        <v>476</v>
      </c>
      <c r="DI114" s="70">
        <v>454</v>
      </c>
      <c r="DJ114" s="70">
        <v>405</v>
      </c>
      <c r="DK114" s="70">
        <v>407</v>
      </c>
      <c r="DL114" s="46">
        <v>418</v>
      </c>
      <c r="DM114" s="46">
        <v>395</v>
      </c>
      <c r="DN114" s="46">
        <v>343</v>
      </c>
      <c r="DO114" s="46">
        <v>379</v>
      </c>
      <c r="DP114" s="46">
        <v>330</v>
      </c>
      <c r="DQ114" s="46">
        <v>349</v>
      </c>
      <c r="DR114" s="46">
        <v>333</v>
      </c>
      <c r="DS114" s="46">
        <v>392</v>
      </c>
      <c r="DT114" s="46">
        <v>497</v>
      </c>
      <c r="DU114" s="46">
        <v>438</v>
      </c>
      <c r="DV114" s="46">
        <v>440</v>
      </c>
      <c r="DW114" s="46">
        <v>435</v>
      </c>
      <c r="DX114" s="46">
        <v>431</v>
      </c>
      <c r="DY114" s="46">
        <v>438</v>
      </c>
      <c r="DZ114" s="46">
        <v>383</v>
      </c>
      <c r="EA114" s="46">
        <v>462</v>
      </c>
      <c r="EB114" s="46">
        <v>374</v>
      </c>
      <c r="EC114" s="46">
        <v>369</v>
      </c>
      <c r="ED114" s="46">
        <v>447</v>
      </c>
      <c r="EE114" s="46">
        <v>473</v>
      </c>
      <c r="EF114" s="46">
        <v>469</v>
      </c>
      <c r="EG114" s="46">
        <v>396</v>
      </c>
      <c r="EH114" s="46">
        <v>379</v>
      </c>
      <c r="EI114" s="46">
        <v>410</v>
      </c>
      <c r="EJ114" s="46">
        <v>429</v>
      </c>
      <c r="EK114" s="46">
        <v>397</v>
      </c>
      <c r="EL114" s="46">
        <v>374</v>
      </c>
      <c r="EM114" s="46">
        <v>387</v>
      </c>
      <c r="EN114" s="46">
        <v>312</v>
      </c>
      <c r="EO114" s="46">
        <v>369</v>
      </c>
      <c r="EP114" s="46">
        <v>393</v>
      </c>
      <c r="EQ114" s="46">
        <v>435</v>
      </c>
      <c r="ER114" s="46">
        <v>513</v>
      </c>
      <c r="ES114" s="46">
        <v>384</v>
      </c>
      <c r="ET114" s="46">
        <v>1185</v>
      </c>
      <c r="EU114" s="46">
        <v>1200</v>
      </c>
      <c r="EV114" s="46">
        <v>1068</v>
      </c>
      <c r="EW114" s="46">
        <v>1341</v>
      </c>
      <c r="EX114" s="71">
        <v>1229.4792518994739</v>
      </c>
      <c r="EY114" s="71">
        <v>1230.1998831092928</v>
      </c>
      <c r="EZ114" s="71">
        <v>1230.9205143191116</v>
      </c>
      <c r="FA114" s="71">
        <v>1231.6411455289303</v>
      </c>
      <c r="FB114" s="71">
        <v>1232.3617767387491</v>
      </c>
      <c r="FC114" s="71">
        <v>1233.0824079485681</v>
      </c>
      <c r="FD114" s="71">
        <v>1233.8030391583868</v>
      </c>
      <c r="FE114" s="71">
        <v>1234.5236703682056</v>
      </c>
      <c r="FF114" s="72">
        <v>307108</v>
      </c>
      <c r="FG114" s="72">
        <v>308207</v>
      </c>
      <c r="FH114" s="476">
        <v>308567</v>
      </c>
      <c r="FI114" s="476">
        <v>310277.57400000002</v>
      </c>
      <c r="FJ114" s="476">
        <v>311518.18099999998</v>
      </c>
      <c r="FK114" s="476">
        <v>312808.01199999999</v>
      </c>
    </row>
    <row r="115" spans="1:167">
      <c r="A115" s="73" t="s">
        <v>918</v>
      </c>
      <c r="B115" s="19" t="s">
        <v>919</v>
      </c>
      <c r="C115" s="74" t="s">
        <v>760</v>
      </c>
      <c r="D115" s="75" t="s">
        <v>396</v>
      </c>
      <c r="E115" s="76">
        <v>80</v>
      </c>
      <c r="F115" s="77">
        <v>105</v>
      </c>
      <c r="G115" s="410">
        <v>75</v>
      </c>
      <c r="H115" s="78">
        <v>12875</v>
      </c>
      <c r="I115" s="77">
        <v>13100</v>
      </c>
      <c r="J115" s="410">
        <v>13320</v>
      </c>
      <c r="K115" s="410">
        <v>13632.510000000002</v>
      </c>
      <c r="L115" s="418">
        <v>13950.675000000001</v>
      </c>
      <c r="M115" s="79">
        <v>636.9</v>
      </c>
      <c r="N115" s="80">
        <v>801.4</v>
      </c>
      <c r="O115" s="421">
        <v>564.79999999999995</v>
      </c>
      <c r="P115" s="71">
        <v>100.11122267790159</v>
      </c>
      <c r="Q115" s="75" t="s">
        <v>396</v>
      </c>
      <c r="R115" s="81">
        <v>65</v>
      </c>
      <c r="S115" s="77">
        <v>40</v>
      </c>
      <c r="T115" s="452">
        <v>55</v>
      </c>
      <c r="U115" s="77">
        <v>65</v>
      </c>
      <c r="V115" s="77">
        <v>40</v>
      </c>
      <c r="W115" s="452">
        <v>55</v>
      </c>
      <c r="X115" s="82">
        <v>98.4</v>
      </c>
      <c r="Y115" s="83">
        <v>95.2</v>
      </c>
      <c r="Z115" s="443">
        <v>100</v>
      </c>
      <c r="AA115" s="63">
        <v>65</v>
      </c>
      <c r="AB115" s="63">
        <v>66</v>
      </c>
      <c r="AC115" s="19" t="s">
        <v>396</v>
      </c>
      <c r="AD115" s="84">
        <v>180</v>
      </c>
      <c r="AE115" s="85">
        <v>203</v>
      </c>
      <c r="AF115" s="85">
        <v>184</v>
      </c>
      <c r="AG115" s="85">
        <v>87</v>
      </c>
      <c r="AH115" s="85">
        <v>53</v>
      </c>
      <c r="AI115" s="85">
        <v>155</v>
      </c>
      <c r="AJ115" s="85">
        <v>311</v>
      </c>
      <c r="AK115" s="85">
        <v>165</v>
      </c>
      <c r="AL115" s="96">
        <v>146</v>
      </c>
      <c r="AM115" s="96">
        <v>143</v>
      </c>
      <c r="AN115" s="96">
        <v>153</v>
      </c>
      <c r="AO115" s="96">
        <v>145</v>
      </c>
      <c r="AP115" s="96">
        <v>266</v>
      </c>
      <c r="AQ115" s="96">
        <v>241</v>
      </c>
      <c r="AR115" s="96">
        <v>283</v>
      </c>
      <c r="AS115" s="96">
        <v>185</v>
      </c>
      <c r="AT115" s="96">
        <v>181</v>
      </c>
      <c r="AU115" s="96">
        <v>151</v>
      </c>
      <c r="AV115" s="96">
        <v>86</v>
      </c>
      <c r="AW115" s="96">
        <v>327</v>
      </c>
      <c r="AX115" s="97">
        <v>337</v>
      </c>
      <c r="AY115" s="97">
        <v>261</v>
      </c>
      <c r="AZ115" s="97">
        <v>277</v>
      </c>
      <c r="BA115" s="97">
        <v>244</v>
      </c>
      <c r="BB115" s="97">
        <v>198</v>
      </c>
      <c r="BC115" s="97">
        <v>270</v>
      </c>
      <c r="BD115" s="87">
        <v>241</v>
      </c>
      <c r="BE115" s="87">
        <v>214</v>
      </c>
      <c r="BF115" s="87">
        <v>175</v>
      </c>
      <c r="BG115" s="87">
        <v>123</v>
      </c>
      <c r="BH115" s="87">
        <v>265</v>
      </c>
      <c r="BI115" s="87">
        <v>164</v>
      </c>
      <c r="BJ115" s="87">
        <v>141</v>
      </c>
      <c r="BK115" s="87">
        <v>187</v>
      </c>
      <c r="BL115" s="87">
        <v>201</v>
      </c>
      <c r="BM115" s="87">
        <v>145</v>
      </c>
      <c r="BN115" s="87">
        <v>166</v>
      </c>
      <c r="BO115" s="87">
        <v>175</v>
      </c>
      <c r="BP115" s="87">
        <v>215</v>
      </c>
      <c r="BQ115" s="87">
        <v>259</v>
      </c>
      <c r="BR115" s="96">
        <v>107</v>
      </c>
      <c r="BS115" s="96">
        <v>164</v>
      </c>
      <c r="BT115" s="96">
        <v>185</v>
      </c>
      <c r="BU115" s="96">
        <v>126</v>
      </c>
      <c r="BV115" s="67">
        <v>529</v>
      </c>
      <c r="BW115" s="67">
        <v>486</v>
      </c>
      <c r="BX115" s="67">
        <v>581</v>
      </c>
      <c r="BY115" s="67">
        <v>475</v>
      </c>
      <c r="BZ115" s="68">
        <v>586.05961945031709</v>
      </c>
      <c r="CA115" s="68">
        <v>587.0217758985201</v>
      </c>
      <c r="CB115" s="68">
        <v>587.98393234672301</v>
      </c>
      <c r="CC115" s="68">
        <v>588.94608879492603</v>
      </c>
      <c r="CD115" s="68">
        <v>589.90824524312893</v>
      </c>
      <c r="CE115" s="68">
        <v>590.87040169133195</v>
      </c>
      <c r="CF115" s="68">
        <v>591.83255813953485</v>
      </c>
      <c r="CG115" s="68">
        <v>592.79471458773787</v>
      </c>
      <c r="CH115" s="87">
        <v>103500</v>
      </c>
      <c r="CI115" s="467">
        <v>104010</v>
      </c>
      <c r="CJ115" s="467">
        <v>106020.39999999997</v>
      </c>
      <c r="CK115" s="467">
        <v>107338.77700000002</v>
      </c>
      <c r="CL115" s="468">
        <v>108614.19499999999</v>
      </c>
      <c r="CM115" s="19" t="s">
        <v>396</v>
      </c>
      <c r="CN115" s="70">
        <v>247</v>
      </c>
      <c r="CO115" s="70">
        <v>238</v>
      </c>
      <c r="CP115" s="70">
        <v>240</v>
      </c>
      <c r="CQ115" s="70">
        <v>231</v>
      </c>
      <c r="CR115" s="70">
        <v>214</v>
      </c>
      <c r="CS115" s="70">
        <v>226</v>
      </c>
      <c r="CT115" s="70">
        <v>287</v>
      </c>
      <c r="CU115" s="70">
        <v>248</v>
      </c>
      <c r="CV115" s="70">
        <v>340</v>
      </c>
      <c r="CW115" s="70">
        <v>221</v>
      </c>
      <c r="CX115" s="70">
        <v>238</v>
      </c>
      <c r="CY115" s="70">
        <v>247</v>
      </c>
      <c r="CZ115" s="70">
        <v>224</v>
      </c>
      <c r="DA115" s="70">
        <v>269</v>
      </c>
      <c r="DB115" s="70">
        <v>276</v>
      </c>
      <c r="DC115" s="70">
        <v>200</v>
      </c>
      <c r="DD115" s="70">
        <v>200</v>
      </c>
      <c r="DE115" s="70">
        <v>240</v>
      </c>
      <c r="DF115" s="70">
        <v>205</v>
      </c>
      <c r="DG115" s="70">
        <v>252</v>
      </c>
      <c r="DH115" s="70">
        <v>288</v>
      </c>
      <c r="DI115" s="70">
        <v>283</v>
      </c>
      <c r="DJ115" s="70">
        <v>236</v>
      </c>
      <c r="DK115" s="70">
        <v>213</v>
      </c>
      <c r="DL115" s="46">
        <v>229</v>
      </c>
      <c r="DM115" s="46">
        <v>199</v>
      </c>
      <c r="DN115" s="46">
        <v>192</v>
      </c>
      <c r="DO115" s="46">
        <v>222</v>
      </c>
      <c r="DP115" s="46">
        <v>199</v>
      </c>
      <c r="DQ115" s="46">
        <v>233</v>
      </c>
      <c r="DR115" s="46">
        <v>203</v>
      </c>
      <c r="DS115" s="46">
        <v>233</v>
      </c>
      <c r="DT115" s="46">
        <v>291</v>
      </c>
      <c r="DU115" s="46">
        <v>286</v>
      </c>
      <c r="DV115" s="46">
        <v>297</v>
      </c>
      <c r="DW115" s="46">
        <v>229</v>
      </c>
      <c r="DX115" s="46">
        <v>255</v>
      </c>
      <c r="DY115" s="46">
        <v>252</v>
      </c>
      <c r="DZ115" s="46">
        <v>221</v>
      </c>
      <c r="EA115" s="46">
        <v>235</v>
      </c>
      <c r="EB115" s="46">
        <v>189</v>
      </c>
      <c r="EC115" s="46">
        <v>206</v>
      </c>
      <c r="ED115" s="46">
        <v>271</v>
      </c>
      <c r="EE115" s="46">
        <v>293</v>
      </c>
      <c r="EF115" s="46">
        <v>306</v>
      </c>
      <c r="EG115" s="46">
        <v>284</v>
      </c>
      <c r="EH115" s="46">
        <v>232</v>
      </c>
      <c r="EI115" s="46">
        <v>248</v>
      </c>
      <c r="EJ115" s="46">
        <v>248</v>
      </c>
      <c r="EK115" s="46">
        <v>281</v>
      </c>
      <c r="EL115" s="46">
        <v>241</v>
      </c>
      <c r="EM115" s="46">
        <v>219</v>
      </c>
      <c r="EN115" s="46">
        <v>220</v>
      </c>
      <c r="EO115" s="46">
        <v>225</v>
      </c>
      <c r="EP115" s="46">
        <v>248</v>
      </c>
      <c r="EQ115" s="46">
        <v>284</v>
      </c>
      <c r="ER115" s="46">
        <v>322</v>
      </c>
      <c r="ES115" s="46">
        <v>252</v>
      </c>
      <c r="ET115" s="46">
        <v>764</v>
      </c>
      <c r="EU115" s="46">
        <v>770</v>
      </c>
      <c r="EV115" s="46">
        <v>664</v>
      </c>
      <c r="EW115" s="46">
        <v>854</v>
      </c>
      <c r="EX115" s="71">
        <v>762.41093235719336</v>
      </c>
      <c r="EY115" s="71">
        <v>764.95072133870622</v>
      </c>
      <c r="EZ115" s="71">
        <v>767.49051032021907</v>
      </c>
      <c r="FA115" s="71">
        <v>770.0302993017317</v>
      </c>
      <c r="FB115" s="71">
        <v>772.57008828324467</v>
      </c>
      <c r="FC115" s="71">
        <v>775.10987726475742</v>
      </c>
      <c r="FD115" s="71">
        <v>777.64966624627027</v>
      </c>
      <c r="FE115" s="71">
        <v>780.18945522778313</v>
      </c>
      <c r="FF115" s="72">
        <v>140713</v>
      </c>
      <c r="FG115" s="72">
        <v>141838</v>
      </c>
      <c r="FH115" s="476">
        <v>143024</v>
      </c>
      <c r="FI115" s="476">
        <v>145573.74100000001</v>
      </c>
      <c r="FJ115" s="476">
        <v>147441.00099999999</v>
      </c>
      <c r="FK115" s="476">
        <v>149354.11900000001</v>
      </c>
    </row>
    <row r="116" spans="1:167">
      <c r="A116" s="73" t="s">
        <v>909</v>
      </c>
      <c r="B116" s="19" t="s">
        <v>910</v>
      </c>
      <c r="C116" s="74" t="s">
        <v>761</v>
      </c>
      <c r="D116" s="75" t="s">
        <v>399</v>
      </c>
      <c r="E116" s="76">
        <v>235</v>
      </c>
      <c r="F116" s="77">
        <v>285</v>
      </c>
      <c r="G116" s="410">
        <v>255</v>
      </c>
      <c r="H116" s="78">
        <v>39895</v>
      </c>
      <c r="I116" s="77">
        <v>41270</v>
      </c>
      <c r="J116" s="410">
        <v>42297</v>
      </c>
      <c r="K116" s="410">
        <v>43338.899999999994</v>
      </c>
      <c r="L116" s="418">
        <v>44079.411</v>
      </c>
      <c r="M116" s="79">
        <v>594</v>
      </c>
      <c r="N116" s="80">
        <v>695.4</v>
      </c>
      <c r="O116" s="421">
        <v>613</v>
      </c>
      <c r="P116" s="71">
        <v>261</v>
      </c>
      <c r="Q116" s="75" t="s">
        <v>399</v>
      </c>
      <c r="R116" s="81">
        <v>80</v>
      </c>
      <c r="S116" s="77">
        <v>85</v>
      </c>
      <c r="T116" s="452">
        <v>90</v>
      </c>
      <c r="U116" s="77">
        <v>110</v>
      </c>
      <c r="V116" s="77">
        <v>120</v>
      </c>
      <c r="W116" s="452">
        <v>115</v>
      </c>
      <c r="X116" s="82">
        <v>70.3</v>
      </c>
      <c r="Y116" s="83">
        <v>70.5</v>
      </c>
      <c r="Z116" s="443">
        <v>78.900000000000006</v>
      </c>
      <c r="AA116" s="63">
        <v>98</v>
      </c>
      <c r="AB116" s="63">
        <v>120</v>
      </c>
      <c r="AC116" s="19" t="s">
        <v>399</v>
      </c>
      <c r="AD116" s="84">
        <v>444</v>
      </c>
      <c r="AE116" s="85">
        <v>857</v>
      </c>
      <c r="AF116" s="85">
        <v>791</v>
      </c>
      <c r="AG116" s="85">
        <v>876</v>
      </c>
      <c r="AH116" s="85">
        <v>699</v>
      </c>
      <c r="AI116" s="85">
        <v>539</v>
      </c>
      <c r="AJ116" s="85">
        <v>661</v>
      </c>
      <c r="AK116" s="85">
        <v>969</v>
      </c>
      <c r="AL116" s="96">
        <v>882</v>
      </c>
      <c r="AM116" s="96">
        <v>737</v>
      </c>
      <c r="AN116" s="96">
        <v>658</v>
      </c>
      <c r="AO116" s="96">
        <v>641</v>
      </c>
      <c r="AP116" s="96">
        <v>576</v>
      </c>
      <c r="AQ116" s="96">
        <v>626</v>
      </c>
      <c r="AR116" s="96">
        <v>807</v>
      </c>
      <c r="AS116" s="96">
        <v>606</v>
      </c>
      <c r="AT116" s="96">
        <v>395</v>
      </c>
      <c r="AU116" s="96">
        <v>335</v>
      </c>
      <c r="AV116" s="96">
        <v>394</v>
      </c>
      <c r="AW116" s="96">
        <v>834</v>
      </c>
      <c r="AX116" s="97">
        <v>576</v>
      </c>
      <c r="AY116" s="97">
        <v>557</v>
      </c>
      <c r="AZ116" s="97">
        <v>698</v>
      </c>
      <c r="BA116" s="97">
        <v>739</v>
      </c>
      <c r="BB116" s="97">
        <v>688</v>
      </c>
      <c r="BC116" s="97">
        <v>716</v>
      </c>
      <c r="BD116" s="87">
        <v>657</v>
      </c>
      <c r="BE116" s="87">
        <v>577</v>
      </c>
      <c r="BF116" s="87">
        <v>502</v>
      </c>
      <c r="BG116" s="87">
        <v>546</v>
      </c>
      <c r="BH116" s="87">
        <v>549</v>
      </c>
      <c r="BI116" s="87">
        <v>381</v>
      </c>
      <c r="BJ116" s="87">
        <v>437</v>
      </c>
      <c r="BK116" s="87">
        <v>643</v>
      </c>
      <c r="BL116" s="87">
        <v>417</v>
      </c>
      <c r="BM116" s="87">
        <v>375</v>
      </c>
      <c r="BN116" s="87">
        <v>394</v>
      </c>
      <c r="BO116" s="87">
        <v>373</v>
      </c>
      <c r="BP116" s="87">
        <v>425</v>
      </c>
      <c r="BQ116" s="87">
        <v>426</v>
      </c>
      <c r="BR116" s="96">
        <v>421</v>
      </c>
      <c r="BS116" s="96">
        <v>348</v>
      </c>
      <c r="BT116" s="96">
        <v>240</v>
      </c>
      <c r="BU116" s="96">
        <v>262</v>
      </c>
      <c r="BV116" s="67">
        <v>1497</v>
      </c>
      <c r="BW116" s="67">
        <v>1142</v>
      </c>
      <c r="BX116" s="67">
        <v>1272</v>
      </c>
      <c r="BY116" s="67">
        <v>850</v>
      </c>
      <c r="BZ116" s="68">
        <v>1049.0306553911205</v>
      </c>
      <c r="CA116" s="68">
        <v>962.96300211416485</v>
      </c>
      <c r="CB116" s="68">
        <v>876.89534883720921</v>
      </c>
      <c r="CC116" s="68">
        <v>790.82769556025369</v>
      </c>
      <c r="CD116" s="68">
        <v>704.76004228329793</v>
      </c>
      <c r="CE116" s="68">
        <v>618.69238900634252</v>
      </c>
      <c r="CF116" s="68">
        <v>532.62473572938677</v>
      </c>
      <c r="CG116" s="68">
        <v>446.55708245243102</v>
      </c>
      <c r="CH116" s="87">
        <v>162300</v>
      </c>
      <c r="CI116" s="467">
        <v>163587</v>
      </c>
      <c r="CJ116" s="467">
        <v>163909.08499999999</v>
      </c>
      <c r="CK116" s="467">
        <v>164766.06799999991</v>
      </c>
      <c r="CL116" s="468">
        <v>165591.8440000001</v>
      </c>
      <c r="CM116" s="19" t="s">
        <v>399</v>
      </c>
      <c r="CN116" s="70">
        <v>376</v>
      </c>
      <c r="CO116" s="70">
        <v>435</v>
      </c>
      <c r="CP116" s="70">
        <v>364</v>
      </c>
      <c r="CQ116" s="70">
        <v>320</v>
      </c>
      <c r="CR116" s="70">
        <v>345</v>
      </c>
      <c r="CS116" s="70">
        <v>386</v>
      </c>
      <c r="CT116" s="70">
        <v>409</v>
      </c>
      <c r="CU116" s="70">
        <v>493</v>
      </c>
      <c r="CV116" s="70">
        <v>493</v>
      </c>
      <c r="CW116" s="70">
        <v>396</v>
      </c>
      <c r="CX116" s="70">
        <v>373</v>
      </c>
      <c r="CY116" s="70">
        <v>420</v>
      </c>
      <c r="CZ116" s="70">
        <v>384</v>
      </c>
      <c r="DA116" s="70">
        <v>392</v>
      </c>
      <c r="DB116" s="70">
        <v>357</v>
      </c>
      <c r="DC116" s="70">
        <v>411</v>
      </c>
      <c r="DD116" s="70">
        <v>364</v>
      </c>
      <c r="DE116" s="70">
        <v>364</v>
      </c>
      <c r="DF116" s="70">
        <v>434</v>
      </c>
      <c r="DG116" s="70">
        <v>466</v>
      </c>
      <c r="DH116" s="70">
        <v>484</v>
      </c>
      <c r="DI116" s="70">
        <v>469</v>
      </c>
      <c r="DJ116" s="70">
        <v>407</v>
      </c>
      <c r="DK116" s="70">
        <v>417</v>
      </c>
      <c r="DL116" s="46">
        <v>421</v>
      </c>
      <c r="DM116" s="46">
        <v>365</v>
      </c>
      <c r="DN116" s="46">
        <v>365</v>
      </c>
      <c r="DO116" s="46">
        <v>379</v>
      </c>
      <c r="DP116" s="46">
        <v>344</v>
      </c>
      <c r="DQ116" s="46">
        <v>374</v>
      </c>
      <c r="DR116" s="46">
        <v>357</v>
      </c>
      <c r="DS116" s="46">
        <v>427</v>
      </c>
      <c r="DT116" s="46">
        <v>476</v>
      </c>
      <c r="DU116" s="46">
        <v>414</v>
      </c>
      <c r="DV116" s="46">
        <v>444</v>
      </c>
      <c r="DW116" s="46">
        <v>430</v>
      </c>
      <c r="DX116" s="46">
        <v>402</v>
      </c>
      <c r="DY116" s="46">
        <v>408</v>
      </c>
      <c r="DZ116" s="46">
        <v>414</v>
      </c>
      <c r="EA116" s="46">
        <v>398</v>
      </c>
      <c r="EB116" s="46">
        <v>363</v>
      </c>
      <c r="EC116" s="46">
        <v>363</v>
      </c>
      <c r="ED116" s="46">
        <v>385</v>
      </c>
      <c r="EE116" s="46">
        <v>383</v>
      </c>
      <c r="EF116" s="46">
        <v>444</v>
      </c>
      <c r="EG116" s="46">
        <v>345</v>
      </c>
      <c r="EH116" s="46">
        <v>336</v>
      </c>
      <c r="EI116" s="46">
        <v>364</v>
      </c>
      <c r="EJ116" s="46">
        <v>372</v>
      </c>
      <c r="EK116" s="46">
        <v>360</v>
      </c>
      <c r="EL116" s="46">
        <v>354</v>
      </c>
      <c r="EM116" s="46">
        <v>362</v>
      </c>
      <c r="EN116" s="46">
        <v>375</v>
      </c>
      <c r="EO116" s="46">
        <v>329</v>
      </c>
      <c r="EP116" s="46">
        <v>400</v>
      </c>
      <c r="EQ116" s="46">
        <v>375</v>
      </c>
      <c r="ER116" s="46">
        <v>419</v>
      </c>
      <c r="ES116" s="46">
        <v>364</v>
      </c>
      <c r="ET116" s="46">
        <v>1045</v>
      </c>
      <c r="EU116" s="46">
        <v>1086</v>
      </c>
      <c r="EV116" s="46">
        <v>1066</v>
      </c>
      <c r="EW116" s="46">
        <v>1194</v>
      </c>
      <c r="EX116" s="71">
        <v>1128.6940539542898</v>
      </c>
      <c r="EY116" s="71">
        <v>1123.6875634439696</v>
      </c>
      <c r="EZ116" s="71">
        <v>1118.6810729336491</v>
      </c>
      <c r="FA116" s="71">
        <v>1113.674582423329</v>
      </c>
      <c r="FB116" s="71">
        <v>1108.6680919130088</v>
      </c>
      <c r="FC116" s="71">
        <v>1103.6616014026886</v>
      </c>
      <c r="FD116" s="71">
        <v>1098.6551108923684</v>
      </c>
      <c r="FE116" s="71">
        <v>1093.6486203820482</v>
      </c>
      <c r="FF116" s="72">
        <v>206856</v>
      </c>
      <c r="FG116" s="72">
        <v>207380</v>
      </c>
      <c r="FH116" s="476">
        <v>208861</v>
      </c>
      <c r="FI116" s="476">
        <v>209224.13399999999</v>
      </c>
      <c r="FJ116" s="476">
        <v>210271.77299999999</v>
      </c>
      <c r="FK116" s="476">
        <v>211388.01500000001</v>
      </c>
    </row>
    <row r="117" spans="1:167">
      <c r="A117" s="73" t="s">
        <v>926</v>
      </c>
      <c r="B117" s="19" t="s">
        <v>927</v>
      </c>
      <c r="C117" s="74" t="s">
        <v>762</v>
      </c>
      <c r="D117" s="75" t="s">
        <v>402</v>
      </c>
      <c r="E117" s="76">
        <v>895</v>
      </c>
      <c r="F117" s="77">
        <v>815</v>
      </c>
      <c r="G117" s="410">
        <v>695</v>
      </c>
      <c r="H117" s="78">
        <v>112725</v>
      </c>
      <c r="I117" s="77">
        <v>117480</v>
      </c>
      <c r="J117" s="410">
        <v>121159</v>
      </c>
      <c r="K117" s="410">
        <v>124873.85999999996</v>
      </c>
      <c r="L117" s="418">
        <v>128169.47199999999</v>
      </c>
      <c r="M117" s="79">
        <v>794</v>
      </c>
      <c r="N117" s="80">
        <v>694.6</v>
      </c>
      <c r="O117" s="421">
        <v>589.9</v>
      </c>
      <c r="P117" s="71">
        <v>737.45579999999995</v>
      </c>
      <c r="Q117" s="75" t="s">
        <v>402</v>
      </c>
      <c r="R117" s="81">
        <v>240</v>
      </c>
      <c r="S117" s="77">
        <v>215</v>
      </c>
      <c r="T117" s="452">
        <v>775</v>
      </c>
      <c r="U117" s="77">
        <v>285</v>
      </c>
      <c r="V117" s="77">
        <v>250</v>
      </c>
      <c r="W117" s="452">
        <v>965</v>
      </c>
      <c r="X117" s="82">
        <v>85.5</v>
      </c>
      <c r="Y117" s="83">
        <v>85.5</v>
      </c>
      <c r="Z117" s="443">
        <v>80.2</v>
      </c>
      <c r="AA117" s="63">
        <v>1181</v>
      </c>
      <c r="AB117" s="63">
        <v>1430</v>
      </c>
      <c r="AC117" s="19" t="s">
        <v>402</v>
      </c>
      <c r="AD117" s="84">
        <v>1521</v>
      </c>
      <c r="AE117" s="85">
        <v>1434</v>
      </c>
      <c r="AF117" s="85">
        <v>1241</v>
      </c>
      <c r="AG117" s="85">
        <v>1609</v>
      </c>
      <c r="AH117" s="85">
        <v>1423</v>
      </c>
      <c r="AI117" s="85">
        <v>1455</v>
      </c>
      <c r="AJ117" s="85">
        <v>1374</v>
      </c>
      <c r="AK117" s="85">
        <v>1165</v>
      </c>
      <c r="AL117" s="96">
        <v>876</v>
      </c>
      <c r="AM117" s="96">
        <v>851</v>
      </c>
      <c r="AN117" s="96">
        <v>1271</v>
      </c>
      <c r="AO117" s="96">
        <v>1270</v>
      </c>
      <c r="AP117" s="96">
        <v>1092</v>
      </c>
      <c r="AQ117" s="96">
        <v>1123</v>
      </c>
      <c r="AR117" s="96">
        <v>865</v>
      </c>
      <c r="AS117" s="96">
        <v>933</v>
      </c>
      <c r="AT117" s="96">
        <v>845</v>
      </c>
      <c r="AU117" s="96">
        <v>696</v>
      </c>
      <c r="AV117" s="96">
        <v>484</v>
      </c>
      <c r="AW117" s="96">
        <v>726</v>
      </c>
      <c r="AX117" s="97">
        <v>627</v>
      </c>
      <c r="AY117" s="97">
        <v>629</v>
      </c>
      <c r="AZ117" s="97">
        <v>924</v>
      </c>
      <c r="BA117" s="97">
        <v>1015</v>
      </c>
      <c r="BB117" s="97">
        <v>1018</v>
      </c>
      <c r="BC117" s="97">
        <v>902</v>
      </c>
      <c r="BD117" s="87">
        <v>1050</v>
      </c>
      <c r="BE117" s="87">
        <v>1124</v>
      </c>
      <c r="BF117" s="87">
        <v>914</v>
      </c>
      <c r="BG117" s="87">
        <v>1521</v>
      </c>
      <c r="BH117" s="87">
        <v>1377</v>
      </c>
      <c r="BI117" s="87">
        <v>1312</v>
      </c>
      <c r="BJ117" s="87">
        <v>1419</v>
      </c>
      <c r="BK117" s="87">
        <v>1171</v>
      </c>
      <c r="BL117" s="87">
        <v>1358</v>
      </c>
      <c r="BM117" s="87">
        <v>1295</v>
      </c>
      <c r="BN117" s="87">
        <v>1100</v>
      </c>
      <c r="BO117" s="87">
        <v>1340</v>
      </c>
      <c r="BP117" s="87">
        <v>1334</v>
      </c>
      <c r="BQ117" s="87">
        <v>1451</v>
      </c>
      <c r="BR117" s="96">
        <v>1227</v>
      </c>
      <c r="BS117" s="96">
        <v>1621</v>
      </c>
      <c r="BT117" s="96">
        <v>1524</v>
      </c>
      <c r="BU117" s="96">
        <v>1579</v>
      </c>
      <c r="BV117" s="67">
        <v>3948</v>
      </c>
      <c r="BW117" s="67">
        <v>3735</v>
      </c>
      <c r="BX117" s="67">
        <v>4012</v>
      </c>
      <c r="BY117" s="67">
        <v>4724</v>
      </c>
      <c r="BZ117" s="68">
        <v>3760.9928118393236</v>
      </c>
      <c r="CA117" s="68">
        <v>3796.4638477801273</v>
      </c>
      <c r="CB117" s="68">
        <v>3831.9348837209304</v>
      </c>
      <c r="CC117" s="68">
        <v>3867.4059196617336</v>
      </c>
      <c r="CD117" s="68">
        <v>3902.8769556025372</v>
      </c>
      <c r="CE117" s="68">
        <v>3938.3479915433409</v>
      </c>
      <c r="CF117" s="68">
        <v>3973.819027484144</v>
      </c>
      <c r="CG117" s="68">
        <v>4009.2900634249468</v>
      </c>
      <c r="CH117" s="87">
        <v>426300</v>
      </c>
      <c r="CI117" s="467">
        <v>429382</v>
      </c>
      <c r="CJ117" s="467">
        <v>431577.9599999999</v>
      </c>
      <c r="CK117" s="467">
        <v>434547.20700000046</v>
      </c>
      <c r="CL117" s="468">
        <v>437469.79900000023</v>
      </c>
      <c r="CM117" s="19" t="s">
        <v>402</v>
      </c>
      <c r="CN117" s="70">
        <v>755</v>
      </c>
      <c r="CO117" s="70">
        <v>686</v>
      </c>
      <c r="CP117" s="70">
        <v>703</v>
      </c>
      <c r="CQ117" s="70">
        <v>666</v>
      </c>
      <c r="CR117" s="70">
        <v>608</v>
      </c>
      <c r="CS117" s="70">
        <v>748</v>
      </c>
      <c r="CT117" s="70">
        <v>810</v>
      </c>
      <c r="CU117" s="70">
        <v>818</v>
      </c>
      <c r="CV117" s="70">
        <v>972</v>
      </c>
      <c r="CW117" s="70">
        <v>807</v>
      </c>
      <c r="CX117" s="70">
        <v>708</v>
      </c>
      <c r="CY117" s="70">
        <v>849</v>
      </c>
      <c r="CZ117" s="70">
        <v>751</v>
      </c>
      <c r="DA117" s="70">
        <v>788</v>
      </c>
      <c r="DB117" s="70">
        <v>718</v>
      </c>
      <c r="DC117" s="70">
        <v>727</v>
      </c>
      <c r="DD117" s="70">
        <v>689</v>
      </c>
      <c r="DE117" s="70">
        <v>738</v>
      </c>
      <c r="DF117" s="70">
        <v>811</v>
      </c>
      <c r="DG117" s="70">
        <v>822</v>
      </c>
      <c r="DH117" s="70">
        <v>970</v>
      </c>
      <c r="DI117" s="70">
        <v>871</v>
      </c>
      <c r="DJ117" s="70">
        <v>836</v>
      </c>
      <c r="DK117" s="70">
        <v>814</v>
      </c>
      <c r="DL117" s="46">
        <v>881</v>
      </c>
      <c r="DM117" s="46">
        <v>776</v>
      </c>
      <c r="DN117" s="46">
        <v>712</v>
      </c>
      <c r="DO117" s="46">
        <v>694</v>
      </c>
      <c r="DP117" s="46">
        <v>755</v>
      </c>
      <c r="DQ117" s="46">
        <v>727</v>
      </c>
      <c r="DR117" s="46">
        <v>822</v>
      </c>
      <c r="DS117" s="46">
        <v>858</v>
      </c>
      <c r="DT117" s="46">
        <v>964</v>
      </c>
      <c r="DU117" s="46">
        <v>931</v>
      </c>
      <c r="DV117" s="46">
        <v>932</v>
      </c>
      <c r="DW117" s="46">
        <v>869</v>
      </c>
      <c r="DX117" s="46">
        <v>938</v>
      </c>
      <c r="DY117" s="46">
        <v>902</v>
      </c>
      <c r="DZ117" s="46">
        <v>873</v>
      </c>
      <c r="EA117" s="46">
        <v>840</v>
      </c>
      <c r="EB117" s="46">
        <v>848</v>
      </c>
      <c r="EC117" s="46">
        <v>802</v>
      </c>
      <c r="ED117" s="46">
        <v>933</v>
      </c>
      <c r="EE117" s="46">
        <v>951</v>
      </c>
      <c r="EF117" s="46">
        <v>1103</v>
      </c>
      <c r="EG117" s="46">
        <v>962</v>
      </c>
      <c r="EH117" s="46">
        <v>876</v>
      </c>
      <c r="EI117" s="46">
        <v>929</v>
      </c>
      <c r="EJ117" s="46">
        <v>952</v>
      </c>
      <c r="EK117" s="46">
        <v>856</v>
      </c>
      <c r="EL117" s="46">
        <v>799</v>
      </c>
      <c r="EM117" s="46">
        <v>897</v>
      </c>
      <c r="EN117" s="46">
        <v>770</v>
      </c>
      <c r="EO117" s="46">
        <v>810</v>
      </c>
      <c r="EP117" s="46">
        <v>836</v>
      </c>
      <c r="EQ117" s="46">
        <v>817</v>
      </c>
      <c r="ER117" s="46">
        <v>963</v>
      </c>
      <c r="ES117" s="46">
        <v>747</v>
      </c>
      <c r="ET117" s="46">
        <v>2767</v>
      </c>
      <c r="EU117" s="46">
        <v>2607</v>
      </c>
      <c r="EV117" s="46">
        <v>2477</v>
      </c>
      <c r="EW117" s="46">
        <v>2616</v>
      </c>
      <c r="EX117" s="71">
        <v>2764.0133501491896</v>
      </c>
      <c r="EY117" s="71">
        <v>2790.0230705343138</v>
      </c>
      <c r="EZ117" s="71">
        <v>2816.0327909194375</v>
      </c>
      <c r="FA117" s="71">
        <v>2842.0425113045617</v>
      </c>
      <c r="FB117" s="71">
        <v>2868.0522316896859</v>
      </c>
      <c r="FC117" s="71">
        <v>2894.0619520748105</v>
      </c>
      <c r="FD117" s="71">
        <v>2920.0716724599342</v>
      </c>
      <c r="FE117" s="71">
        <v>2946.0813928450584</v>
      </c>
      <c r="FF117" s="72">
        <v>531581</v>
      </c>
      <c r="FG117" s="72">
        <v>534950</v>
      </c>
      <c r="FH117" s="476">
        <v>538104</v>
      </c>
      <c r="FI117" s="476">
        <v>540461.87199999997</v>
      </c>
      <c r="FJ117" s="476">
        <v>543602.348</v>
      </c>
      <c r="FK117" s="476">
        <v>546953.53800000006</v>
      </c>
    </row>
    <row r="118" spans="1:167">
      <c r="A118" s="73" t="s">
        <v>926</v>
      </c>
      <c r="B118" s="19" t="s">
        <v>927</v>
      </c>
      <c r="C118" s="74" t="s">
        <v>763</v>
      </c>
      <c r="D118" s="75" t="s">
        <v>405</v>
      </c>
      <c r="E118" s="76">
        <v>340</v>
      </c>
      <c r="F118" s="77">
        <v>365</v>
      </c>
      <c r="G118" s="410">
        <v>370</v>
      </c>
      <c r="H118" s="78">
        <v>44755</v>
      </c>
      <c r="I118" s="77">
        <v>46600</v>
      </c>
      <c r="J118" s="410">
        <v>48211</v>
      </c>
      <c r="K118" s="410">
        <v>49233.017</v>
      </c>
      <c r="L118" s="418">
        <v>50419.678999999996</v>
      </c>
      <c r="M118" s="79">
        <v>757.4</v>
      </c>
      <c r="N118" s="80">
        <v>787.5</v>
      </c>
      <c r="O118" s="421">
        <v>798.2</v>
      </c>
      <c r="P118" s="71">
        <v>352</v>
      </c>
      <c r="Q118" s="75" t="s">
        <v>405</v>
      </c>
      <c r="R118" s="81">
        <v>205</v>
      </c>
      <c r="S118" s="77">
        <v>160</v>
      </c>
      <c r="T118" s="452">
        <v>140</v>
      </c>
      <c r="U118" s="77">
        <v>245</v>
      </c>
      <c r="V118" s="77">
        <v>190</v>
      </c>
      <c r="W118" s="452">
        <v>155</v>
      </c>
      <c r="X118" s="82">
        <v>84</v>
      </c>
      <c r="Y118" s="83">
        <v>83.9</v>
      </c>
      <c r="Z118" s="443">
        <v>89</v>
      </c>
      <c r="AA118" s="63">
        <v>280</v>
      </c>
      <c r="AB118" s="63">
        <v>320</v>
      </c>
      <c r="AC118" s="19" t="s">
        <v>405</v>
      </c>
      <c r="AD118" s="84">
        <v>738</v>
      </c>
      <c r="AE118" s="85">
        <v>516</v>
      </c>
      <c r="AF118" s="85">
        <v>492</v>
      </c>
      <c r="AG118" s="85">
        <v>389</v>
      </c>
      <c r="AH118" s="85">
        <v>670</v>
      </c>
      <c r="AI118" s="85">
        <v>566</v>
      </c>
      <c r="AJ118" s="85">
        <v>827</v>
      </c>
      <c r="AK118" s="85">
        <v>964</v>
      </c>
      <c r="AL118" s="96">
        <v>620</v>
      </c>
      <c r="AM118" s="96">
        <v>652</v>
      </c>
      <c r="AN118" s="96">
        <v>725</v>
      </c>
      <c r="AO118" s="96">
        <v>440</v>
      </c>
      <c r="AP118" s="96">
        <v>562</v>
      </c>
      <c r="AQ118" s="96">
        <v>543</v>
      </c>
      <c r="AR118" s="96">
        <v>612</v>
      </c>
      <c r="AS118" s="96">
        <v>734</v>
      </c>
      <c r="AT118" s="96">
        <v>746</v>
      </c>
      <c r="AU118" s="96">
        <v>537</v>
      </c>
      <c r="AV118" s="96">
        <v>412</v>
      </c>
      <c r="AW118" s="96">
        <v>601</v>
      </c>
      <c r="AX118" s="97">
        <v>525</v>
      </c>
      <c r="AY118" s="97">
        <v>658</v>
      </c>
      <c r="AZ118" s="97">
        <v>569</v>
      </c>
      <c r="BA118" s="97">
        <v>444</v>
      </c>
      <c r="BB118" s="97">
        <v>489</v>
      </c>
      <c r="BC118" s="97">
        <v>516</v>
      </c>
      <c r="BD118" s="87">
        <v>716</v>
      </c>
      <c r="BE118" s="87">
        <v>555</v>
      </c>
      <c r="BF118" s="87">
        <v>470</v>
      </c>
      <c r="BG118" s="87">
        <v>665</v>
      </c>
      <c r="BH118" s="87">
        <v>606</v>
      </c>
      <c r="BI118" s="87">
        <v>515</v>
      </c>
      <c r="BJ118" s="87">
        <v>392</v>
      </c>
      <c r="BK118" s="87">
        <v>557</v>
      </c>
      <c r="BL118" s="87">
        <v>520</v>
      </c>
      <c r="BM118" s="87">
        <v>527</v>
      </c>
      <c r="BN118" s="87">
        <v>513</v>
      </c>
      <c r="BO118" s="87">
        <v>425</v>
      </c>
      <c r="BP118" s="87">
        <v>694</v>
      </c>
      <c r="BQ118" s="87">
        <v>616</v>
      </c>
      <c r="BR118" s="96">
        <v>627</v>
      </c>
      <c r="BS118" s="96">
        <v>541</v>
      </c>
      <c r="BT118" s="96">
        <v>373</v>
      </c>
      <c r="BU118" s="96">
        <v>516</v>
      </c>
      <c r="BV118" s="67">
        <v>1469</v>
      </c>
      <c r="BW118" s="67">
        <v>1465</v>
      </c>
      <c r="BX118" s="67">
        <v>1937</v>
      </c>
      <c r="BY118" s="67">
        <v>1430</v>
      </c>
      <c r="BZ118" s="68">
        <v>1522.9608879492603</v>
      </c>
      <c r="CA118" s="68">
        <v>1496.5158562367865</v>
      </c>
      <c r="CB118" s="68">
        <v>1470.0708245243129</v>
      </c>
      <c r="CC118" s="68">
        <v>1443.6257928118393</v>
      </c>
      <c r="CD118" s="68">
        <v>1417.1807610993658</v>
      </c>
      <c r="CE118" s="68">
        <v>1390.7357293868922</v>
      </c>
      <c r="CF118" s="68">
        <v>1364.2906976744189</v>
      </c>
      <c r="CG118" s="68">
        <v>1337.8456659619451</v>
      </c>
      <c r="CH118" s="87">
        <v>209100</v>
      </c>
      <c r="CI118" s="467">
        <v>212159</v>
      </c>
      <c r="CJ118" s="467">
        <v>213959.01500000004</v>
      </c>
      <c r="CK118" s="467">
        <v>216151.80799999996</v>
      </c>
      <c r="CL118" s="468">
        <v>218172.32900000003</v>
      </c>
      <c r="CM118" s="19" t="s">
        <v>405</v>
      </c>
      <c r="CN118" s="70">
        <v>330</v>
      </c>
      <c r="CO118" s="70">
        <v>286</v>
      </c>
      <c r="CP118" s="70">
        <v>262</v>
      </c>
      <c r="CQ118" s="70">
        <v>279</v>
      </c>
      <c r="CR118" s="70">
        <v>258</v>
      </c>
      <c r="CS118" s="70">
        <v>248</v>
      </c>
      <c r="CT118" s="70">
        <v>334</v>
      </c>
      <c r="CU118" s="70">
        <v>353</v>
      </c>
      <c r="CV118" s="70">
        <v>371</v>
      </c>
      <c r="CW118" s="70">
        <v>331</v>
      </c>
      <c r="CX118" s="70">
        <v>329</v>
      </c>
      <c r="CY118" s="70">
        <v>274</v>
      </c>
      <c r="CZ118" s="70">
        <v>304</v>
      </c>
      <c r="DA118" s="70">
        <v>298</v>
      </c>
      <c r="DB118" s="70">
        <v>305</v>
      </c>
      <c r="DC118" s="70">
        <v>270</v>
      </c>
      <c r="DD118" s="70">
        <v>316</v>
      </c>
      <c r="DE118" s="70">
        <v>294</v>
      </c>
      <c r="DF118" s="70">
        <v>278</v>
      </c>
      <c r="DG118" s="70">
        <v>321</v>
      </c>
      <c r="DH118" s="70">
        <v>410</v>
      </c>
      <c r="DI118" s="70">
        <v>345</v>
      </c>
      <c r="DJ118" s="70">
        <v>323</v>
      </c>
      <c r="DK118" s="70">
        <v>260</v>
      </c>
      <c r="DL118" s="46">
        <v>304</v>
      </c>
      <c r="DM118" s="46">
        <v>288</v>
      </c>
      <c r="DN118" s="46">
        <v>270</v>
      </c>
      <c r="DO118" s="46">
        <v>289</v>
      </c>
      <c r="DP118" s="46">
        <v>303</v>
      </c>
      <c r="DQ118" s="46">
        <v>296</v>
      </c>
      <c r="DR118" s="46">
        <v>313</v>
      </c>
      <c r="DS118" s="46">
        <v>317</v>
      </c>
      <c r="DT118" s="46">
        <v>398</v>
      </c>
      <c r="DU118" s="46">
        <v>339</v>
      </c>
      <c r="DV118" s="46">
        <v>362</v>
      </c>
      <c r="DW118" s="46">
        <v>360</v>
      </c>
      <c r="DX118" s="46">
        <v>338</v>
      </c>
      <c r="DY118" s="46">
        <v>375</v>
      </c>
      <c r="DZ118" s="46">
        <v>304</v>
      </c>
      <c r="EA118" s="46">
        <v>321</v>
      </c>
      <c r="EB118" s="46">
        <v>333</v>
      </c>
      <c r="EC118" s="46">
        <v>286</v>
      </c>
      <c r="ED118" s="46">
        <v>352</v>
      </c>
      <c r="EE118" s="46">
        <v>360</v>
      </c>
      <c r="EF118" s="46">
        <v>382</v>
      </c>
      <c r="EG118" s="46">
        <v>385</v>
      </c>
      <c r="EH118" s="46">
        <v>306</v>
      </c>
      <c r="EI118" s="46">
        <v>312</v>
      </c>
      <c r="EJ118" s="46">
        <v>394</v>
      </c>
      <c r="EK118" s="46">
        <v>354</v>
      </c>
      <c r="EL118" s="46">
        <v>318</v>
      </c>
      <c r="EM118" s="46">
        <v>295</v>
      </c>
      <c r="EN118" s="46">
        <v>295</v>
      </c>
      <c r="EO118" s="46">
        <v>311</v>
      </c>
      <c r="EP118" s="46">
        <v>359</v>
      </c>
      <c r="EQ118" s="46">
        <v>347</v>
      </c>
      <c r="ER118" s="46">
        <v>415</v>
      </c>
      <c r="ES118" s="46">
        <v>347</v>
      </c>
      <c r="ET118" s="46">
        <v>1003</v>
      </c>
      <c r="EU118" s="46">
        <v>1066</v>
      </c>
      <c r="EV118" s="46">
        <v>901</v>
      </c>
      <c r="EW118" s="46">
        <v>1121</v>
      </c>
      <c r="EX118" s="71">
        <v>1065.2174167153712</v>
      </c>
      <c r="EY118" s="71">
        <v>1074.2279368790182</v>
      </c>
      <c r="EZ118" s="71">
        <v>1083.2384570426652</v>
      </c>
      <c r="FA118" s="71">
        <v>1092.248977206312</v>
      </c>
      <c r="FB118" s="71">
        <v>1101.259497369959</v>
      </c>
      <c r="FC118" s="71">
        <v>1110.2700175336061</v>
      </c>
      <c r="FD118" s="71">
        <v>1119.2805376972531</v>
      </c>
      <c r="FE118" s="71">
        <v>1128.2910578609001</v>
      </c>
      <c r="FF118" s="72">
        <v>263417</v>
      </c>
      <c r="FG118" s="72">
        <v>266147</v>
      </c>
      <c r="FH118" s="476">
        <v>269107</v>
      </c>
      <c r="FI118" s="476">
        <v>270973.00599999999</v>
      </c>
      <c r="FJ118" s="476">
        <v>273285.97499999998</v>
      </c>
      <c r="FK118" s="476">
        <v>275591.83</v>
      </c>
    </row>
    <row r="119" spans="1:167">
      <c r="A119" s="73" t="s">
        <v>939</v>
      </c>
      <c r="B119" s="19" t="s">
        <v>940</v>
      </c>
      <c r="C119" s="74" t="s">
        <v>764</v>
      </c>
      <c r="D119" s="75" t="s">
        <v>408</v>
      </c>
      <c r="E119" s="76">
        <v>335</v>
      </c>
      <c r="F119" s="77">
        <v>240</v>
      </c>
      <c r="G119" s="410">
        <v>235</v>
      </c>
      <c r="H119" s="78">
        <v>26950</v>
      </c>
      <c r="I119" s="77">
        <v>27710</v>
      </c>
      <c r="J119" s="410">
        <v>28222</v>
      </c>
      <c r="K119" s="410">
        <v>28753.735000000001</v>
      </c>
      <c r="L119" s="418">
        <v>29261.171000000002</v>
      </c>
      <c r="M119" s="79">
        <v>1239.3</v>
      </c>
      <c r="N119" s="80">
        <v>862.6</v>
      </c>
      <c r="O119" s="421">
        <v>848.1</v>
      </c>
      <c r="P119" s="71">
        <v>222</v>
      </c>
      <c r="Q119" s="75" t="s">
        <v>408</v>
      </c>
      <c r="R119" s="81">
        <v>285</v>
      </c>
      <c r="S119" s="77">
        <v>250</v>
      </c>
      <c r="T119" s="452">
        <v>150</v>
      </c>
      <c r="U119" s="77">
        <v>350</v>
      </c>
      <c r="V119" s="77">
        <v>315</v>
      </c>
      <c r="W119" s="452">
        <v>180</v>
      </c>
      <c r="X119" s="82">
        <v>81.2</v>
      </c>
      <c r="Y119" s="83">
        <v>79</v>
      </c>
      <c r="Z119" s="443">
        <v>81.3</v>
      </c>
      <c r="AA119" s="63">
        <v>277</v>
      </c>
      <c r="AB119" s="63">
        <v>332</v>
      </c>
      <c r="AC119" s="19" t="s">
        <v>408</v>
      </c>
      <c r="AD119" s="84">
        <v>470</v>
      </c>
      <c r="AE119" s="85">
        <v>376</v>
      </c>
      <c r="AF119" s="85">
        <v>316</v>
      </c>
      <c r="AG119" s="85">
        <v>331</v>
      </c>
      <c r="AH119" s="85">
        <v>326</v>
      </c>
      <c r="AI119" s="85">
        <v>205</v>
      </c>
      <c r="AJ119" s="85">
        <v>219</v>
      </c>
      <c r="AK119" s="85">
        <v>179</v>
      </c>
      <c r="AL119" s="96">
        <v>268</v>
      </c>
      <c r="AM119" s="96">
        <v>214</v>
      </c>
      <c r="AN119" s="96">
        <v>170</v>
      </c>
      <c r="AO119" s="96">
        <v>148</v>
      </c>
      <c r="AP119" s="96">
        <v>154</v>
      </c>
      <c r="AQ119" s="96">
        <v>176</v>
      </c>
      <c r="AR119" s="96">
        <v>173</v>
      </c>
      <c r="AS119" s="96">
        <v>167</v>
      </c>
      <c r="AT119" s="96">
        <v>169</v>
      </c>
      <c r="AU119" s="96">
        <v>117</v>
      </c>
      <c r="AV119" s="96">
        <v>158</v>
      </c>
      <c r="AW119" s="96">
        <v>163</v>
      </c>
      <c r="AX119" s="97">
        <v>109</v>
      </c>
      <c r="AY119" s="97">
        <v>133</v>
      </c>
      <c r="AZ119" s="97">
        <v>157</v>
      </c>
      <c r="BA119" s="97">
        <v>237</v>
      </c>
      <c r="BB119" s="97">
        <v>134</v>
      </c>
      <c r="BC119" s="97">
        <v>143</v>
      </c>
      <c r="BD119" s="87">
        <v>278</v>
      </c>
      <c r="BE119" s="87">
        <v>313</v>
      </c>
      <c r="BF119" s="87">
        <v>238</v>
      </c>
      <c r="BG119" s="87">
        <v>295</v>
      </c>
      <c r="BH119" s="87">
        <v>203</v>
      </c>
      <c r="BI119" s="87">
        <v>127</v>
      </c>
      <c r="BJ119" s="87">
        <v>92</v>
      </c>
      <c r="BK119" s="87">
        <v>55</v>
      </c>
      <c r="BL119" s="87">
        <v>32</v>
      </c>
      <c r="BM119" s="87">
        <v>82</v>
      </c>
      <c r="BN119" s="87">
        <v>198</v>
      </c>
      <c r="BO119" s="87">
        <v>199</v>
      </c>
      <c r="BP119" s="87">
        <v>127</v>
      </c>
      <c r="BQ119" s="87">
        <v>123</v>
      </c>
      <c r="BR119" s="96">
        <v>94</v>
      </c>
      <c r="BS119" s="96">
        <v>95</v>
      </c>
      <c r="BT119" s="96">
        <v>99</v>
      </c>
      <c r="BU119" s="96">
        <v>115</v>
      </c>
      <c r="BV119" s="67">
        <v>179</v>
      </c>
      <c r="BW119" s="67">
        <v>479</v>
      </c>
      <c r="BX119" s="67">
        <v>344</v>
      </c>
      <c r="BY119" s="67">
        <v>309</v>
      </c>
      <c r="BZ119" s="68">
        <v>253.1604651162792</v>
      </c>
      <c r="CA119" s="68">
        <v>214.30570824524324</v>
      </c>
      <c r="CB119" s="68">
        <v>175.45095137420728</v>
      </c>
      <c r="CC119" s="68">
        <v>136.59619450317132</v>
      </c>
      <c r="CD119" s="68">
        <v>97.741437632135444</v>
      </c>
      <c r="CE119" s="68">
        <v>58.886680761099399</v>
      </c>
      <c r="CF119" s="68">
        <v>20.031923890063524</v>
      </c>
      <c r="CG119" s="68">
        <v>0</v>
      </c>
      <c r="CH119" s="87">
        <v>118900</v>
      </c>
      <c r="CI119" s="467">
        <v>119084</v>
      </c>
      <c r="CJ119" s="467">
        <v>119824.23899999997</v>
      </c>
      <c r="CK119" s="467">
        <v>120269.06899999996</v>
      </c>
      <c r="CL119" s="468">
        <v>120609.28099999999</v>
      </c>
      <c r="CM119" s="19" t="s">
        <v>408</v>
      </c>
      <c r="CN119" s="70">
        <v>364</v>
      </c>
      <c r="CO119" s="70">
        <v>315</v>
      </c>
      <c r="CP119" s="70">
        <v>332</v>
      </c>
      <c r="CQ119" s="70">
        <v>318</v>
      </c>
      <c r="CR119" s="70">
        <v>341</v>
      </c>
      <c r="CS119" s="70">
        <v>314</v>
      </c>
      <c r="CT119" s="70">
        <v>427</v>
      </c>
      <c r="CU119" s="70">
        <v>439</v>
      </c>
      <c r="CV119" s="70">
        <v>491</v>
      </c>
      <c r="CW119" s="70">
        <v>421</v>
      </c>
      <c r="CX119" s="70">
        <v>338</v>
      </c>
      <c r="CY119" s="70">
        <v>436</v>
      </c>
      <c r="CZ119" s="70">
        <v>407</v>
      </c>
      <c r="DA119" s="70">
        <v>387</v>
      </c>
      <c r="DB119" s="70">
        <v>336</v>
      </c>
      <c r="DC119" s="70">
        <v>345</v>
      </c>
      <c r="DD119" s="70">
        <v>336</v>
      </c>
      <c r="DE119" s="70">
        <v>390</v>
      </c>
      <c r="DF119" s="70">
        <v>395</v>
      </c>
      <c r="DG119" s="70">
        <v>423</v>
      </c>
      <c r="DH119" s="70">
        <v>489</v>
      </c>
      <c r="DI119" s="70">
        <v>438</v>
      </c>
      <c r="DJ119" s="70">
        <v>441</v>
      </c>
      <c r="DK119" s="70">
        <v>426</v>
      </c>
      <c r="DL119" s="46">
        <v>392</v>
      </c>
      <c r="DM119" s="46">
        <v>368</v>
      </c>
      <c r="DN119" s="46">
        <v>353</v>
      </c>
      <c r="DO119" s="46">
        <v>346</v>
      </c>
      <c r="DP119" s="46">
        <v>329</v>
      </c>
      <c r="DQ119" s="46">
        <v>345</v>
      </c>
      <c r="DR119" s="46">
        <v>371</v>
      </c>
      <c r="DS119" s="46">
        <v>395</v>
      </c>
      <c r="DT119" s="46">
        <v>388</v>
      </c>
      <c r="DU119" s="46">
        <v>444</v>
      </c>
      <c r="DV119" s="46">
        <v>393</v>
      </c>
      <c r="DW119" s="46">
        <v>426</v>
      </c>
      <c r="DX119" s="46">
        <v>366</v>
      </c>
      <c r="DY119" s="46">
        <v>340</v>
      </c>
      <c r="DZ119" s="46">
        <v>377</v>
      </c>
      <c r="EA119" s="46">
        <v>401</v>
      </c>
      <c r="EB119" s="46">
        <v>362</v>
      </c>
      <c r="EC119" s="46">
        <v>356</v>
      </c>
      <c r="ED119" s="46">
        <v>371</v>
      </c>
      <c r="EE119" s="46">
        <v>374</v>
      </c>
      <c r="EF119" s="46">
        <v>443</v>
      </c>
      <c r="EG119" s="46">
        <v>362</v>
      </c>
      <c r="EH119" s="46">
        <v>342</v>
      </c>
      <c r="EI119" s="46">
        <v>422</v>
      </c>
      <c r="EJ119" s="46">
        <v>372</v>
      </c>
      <c r="EK119" s="46">
        <v>371</v>
      </c>
      <c r="EL119" s="46">
        <v>340</v>
      </c>
      <c r="EM119" s="46">
        <v>304</v>
      </c>
      <c r="EN119" s="46">
        <v>363</v>
      </c>
      <c r="EO119" s="46">
        <v>334</v>
      </c>
      <c r="EP119" s="46">
        <v>374</v>
      </c>
      <c r="EQ119" s="46">
        <v>375</v>
      </c>
      <c r="ER119" s="46">
        <v>396</v>
      </c>
      <c r="ES119" s="46">
        <v>392</v>
      </c>
      <c r="ET119" s="46">
        <v>1126</v>
      </c>
      <c r="EU119" s="46">
        <v>1083</v>
      </c>
      <c r="EV119" s="46">
        <v>1001</v>
      </c>
      <c r="EW119" s="46">
        <v>1145</v>
      </c>
      <c r="EX119" s="71">
        <v>1122.5238856931926</v>
      </c>
      <c r="EY119" s="71">
        <v>1120.9298040542617</v>
      </c>
      <c r="EZ119" s="71">
        <v>1119.335722415331</v>
      </c>
      <c r="FA119" s="71">
        <v>1117.7416407764003</v>
      </c>
      <c r="FB119" s="71">
        <v>1116.1475591374697</v>
      </c>
      <c r="FC119" s="71">
        <v>1114.553477498539</v>
      </c>
      <c r="FD119" s="71">
        <v>1112.9593958596081</v>
      </c>
      <c r="FE119" s="71">
        <v>1111.3653142206774</v>
      </c>
      <c r="FF119" s="72">
        <v>148164</v>
      </c>
      <c r="FG119" s="72">
        <v>148428</v>
      </c>
      <c r="FH119" s="476">
        <v>148526</v>
      </c>
      <c r="FI119" s="476">
        <v>149006.973</v>
      </c>
      <c r="FJ119" s="476">
        <v>149366.63500000001</v>
      </c>
      <c r="FK119" s="476">
        <v>149753.74900000001</v>
      </c>
    </row>
    <row r="120" spans="1:167">
      <c r="A120" s="73" t="s">
        <v>915</v>
      </c>
      <c r="B120" s="19" t="s">
        <v>916</v>
      </c>
      <c r="C120" s="74" t="s">
        <v>765</v>
      </c>
      <c r="D120" s="75" t="s">
        <v>411</v>
      </c>
      <c r="E120" s="76">
        <v>275</v>
      </c>
      <c r="F120" s="77">
        <v>320</v>
      </c>
      <c r="G120" s="410">
        <v>310</v>
      </c>
      <c r="H120" s="78">
        <v>30945</v>
      </c>
      <c r="I120" s="77">
        <v>31720</v>
      </c>
      <c r="J120" s="410">
        <v>32194</v>
      </c>
      <c r="K120" s="410">
        <v>32789.952999999994</v>
      </c>
      <c r="L120" s="418">
        <v>33332.49</v>
      </c>
      <c r="M120" s="79">
        <v>885.5</v>
      </c>
      <c r="N120" s="80">
        <v>1005.6</v>
      </c>
      <c r="O120" s="421">
        <v>971</v>
      </c>
      <c r="P120" s="71">
        <v>291</v>
      </c>
      <c r="Q120" s="75" t="s">
        <v>411</v>
      </c>
      <c r="R120" s="81">
        <v>190</v>
      </c>
      <c r="S120" s="77">
        <v>185</v>
      </c>
      <c r="T120" s="452">
        <v>175</v>
      </c>
      <c r="U120" s="77">
        <v>215</v>
      </c>
      <c r="V120" s="77">
        <v>210</v>
      </c>
      <c r="W120" s="452">
        <v>235</v>
      </c>
      <c r="X120" s="82">
        <v>87.9</v>
      </c>
      <c r="Y120" s="83">
        <v>87.7</v>
      </c>
      <c r="Z120" s="443">
        <v>75.099999999999994</v>
      </c>
      <c r="AA120" s="63">
        <v>191</v>
      </c>
      <c r="AB120" s="63">
        <v>212</v>
      </c>
      <c r="AC120" s="19" t="s">
        <v>411</v>
      </c>
      <c r="AD120" s="84">
        <v>2284</v>
      </c>
      <c r="AE120" s="85">
        <v>2112</v>
      </c>
      <c r="AF120" s="85">
        <v>324</v>
      </c>
      <c r="AG120" s="85">
        <v>683</v>
      </c>
      <c r="AH120" s="85">
        <v>331</v>
      </c>
      <c r="AI120" s="85">
        <v>547</v>
      </c>
      <c r="AJ120" s="85">
        <v>527</v>
      </c>
      <c r="AK120" s="85">
        <v>608</v>
      </c>
      <c r="AL120" s="96">
        <v>916</v>
      </c>
      <c r="AM120" s="96">
        <v>772</v>
      </c>
      <c r="AN120" s="96">
        <v>527</v>
      </c>
      <c r="AO120" s="96">
        <v>633</v>
      </c>
      <c r="AP120" s="96">
        <v>780</v>
      </c>
      <c r="AQ120" s="96">
        <v>685</v>
      </c>
      <c r="AR120" s="96">
        <v>599</v>
      </c>
      <c r="AS120" s="96">
        <v>656</v>
      </c>
      <c r="AT120" s="96">
        <v>546</v>
      </c>
      <c r="AU120" s="96">
        <v>459</v>
      </c>
      <c r="AV120" s="96">
        <v>644</v>
      </c>
      <c r="AW120" s="96">
        <v>655</v>
      </c>
      <c r="AX120" s="97">
        <v>935</v>
      </c>
      <c r="AY120" s="97">
        <v>1052</v>
      </c>
      <c r="AZ120" s="97">
        <v>917</v>
      </c>
      <c r="BA120" s="97">
        <v>821</v>
      </c>
      <c r="BB120" s="97">
        <v>1087</v>
      </c>
      <c r="BC120" s="97">
        <v>1037</v>
      </c>
      <c r="BD120" s="87">
        <v>697</v>
      </c>
      <c r="BE120" s="87">
        <v>858</v>
      </c>
      <c r="BF120" s="87">
        <v>571</v>
      </c>
      <c r="BG120" s="87">
        <v>812</v>
      </c>
      <c r="BH120" s="87">
        <v>1061</v>
      </c>
      <c r="BI120" s="87">
        <v>1529</v>
      </c>
      <c r="BJ120" s="87">
        <v>974</v>
      </c>
      <c r="BK120" s="87">
        <v>973</v>
      </c>
      <c r="BL120" s="87">
        <v>661</v>
      </c>
      <c r="BM120" s="87">
        <v>732</v>
      </c>
      <c r="BN120" s="87">
        <v>679</v>
      </c>
      <c r="BO120" s="87">
        <v>810</v>
      </c>
      <c r="BP120" s="87">
        <v>1020</v>
      </c>
      <c r="BQ120" s="87">
        <v>1052</v>
      </c>
      <c r="BR120" s="96">
        <v>434</v>
      </c>
      <c r="BS120" s="96">
        <v>835</v>
      </c>
      <c r="BT120" s="96">
        <v>679</v>
      </c>
      <c r="BU120" s="96">
        <v>818</v>
      </c>
      <c r="BV120" s="67">
        <v>2608</v>
      </c>
      <c r="BW120" s="67">
        <v>2221</v>
      </c>
      <c r="BX120" s="67">
        <v>2506</v>
      </c>
      <c r="BY120" s="67">
        <v>2332</v>
      </c>
      <c r="BZ120" s="68">
        <v>2392.7109936575052</v>
      </c>
      <c r="CA120" s="68">
        <v>2381.9274841437636</v>
      </c>
      <c r="CB120" s="68">
        <v>2371.1439746300216</v>
      </c>
      <c r="CC120" s="68">
        <v>2360.3604651162791</v>
      </c>
      <c r="CD120" s="68">
        <v>2349.5769556025371</v>
      </c>
      <c r="CE120" s="68">
        <v>2338.793446088795</v>
      </c>
      <c r="CF120" s="68">
        <v>2328.009936575053</v>
      </c>
      <c r="CG120" s="68">
        <v>2317.2264270613114</v>
      </c>
      <c r="CH120" s="87">
        <v>192400</v>
      </c>
      <c r="CI120" s="467">
        <v>194254</v>
      </c>
      <c r="CJ120" s="467">
        <v>195523.73499999996</v>
      </c>
      <c r="CK120" s="467">
        <v>196899.01199999999</v>
      </c>
      <c r="CL120" s="468">
        <v>198085.75699999998</v>
      </c>
      <c r="CM120" s="19" t="s">
        <v>411</v>
      </c>
      <c r="CN120" s="70">
        <v>376</v>
      </c>
      <c r="CO120" s="70">
        <v>350</v>
      </c>
      <c r="CP120" s="70">
        <v>348</v>
      </c>
      <c r="CQ120" s="70">
        <v>331</v>
      </c>
      <c r="CR120" s="70">
        <v>335</v>
      </c>
      <c r="CS120" s="70">
        <v>324</v>
      </c>
      <c r="CT120" s="70">
        <v>473</v>
      </c>
      <c r="CU120" s="70">
        <v>440</v>
      </c>
      <c r="CV120" s="70">
        <v>507</v>
      </c>
      <c r="CW120" s="70">
        <v>438</v>
      </c>
      <c r="CX120" s="70">
        <v>423</v>
      </c>
      <c r="CY120" s="70">
        <v>424</v>
      </c>
      <c r="CZ120" s="70">
        <v>396</v>
      </c>
      <c r="DA120" s="70">
        <v>414</v>
      </c>
      <c r="DB120" s="70">
        <v>374</v>
      </c>
      <c r="DC120" s="70">
        <v>354</v>
      </c>
      <c r="DD120" s="70">
        <v>350</v>
      </c>
      <c r="DE120" s="70">
        <v>349</v>
      </c>
      <c r="DF120" s="70">
        <v>451</v>
      </c>
      <c r="DG120" s="70">
        <v>456</v>
      </c>
      <c r="DH120" s="70">
        <v>556</v>
      </c>
      <c r="DI120" s="70">
        <v>475</v>
      </c>
      <c r="DJ120" s="70">
        <v>451</v>
      </c>
      <c r="DK120" s="70">
        <v>469</v>
      </c>
      <c r="DL120" s="46">
        <v>438</v>
      </c>
      <c r="DM120" s="46">
        <v>417</v>
      </c>
      <c r="DN120" s="46">
        <v>360</v>
      </c>
      <c r="DO120" s="46">
        <v>415</v>
      </c>
      <c r="DP120" s="46">
        <v>373</v>
      </c>
      <c r="DQ120" s="46">
        <v>402</v>
      </c>
      <c r="DR120" s="46">
        <v>477</v>
      </c>
      <c r="DS120" s="46">
        <v>520</v>
      </c>
      <c r="DT120" s="46">
        <v>626</v>
      </c>
      <c r="DU120" s="46">
        <v>496</v>
      </c>
      <c r="DV120" s="46">
        <v>513</v>
      </c>
      <c r="DW120" s="46">
        <v>499</v>
      </c>
      <c r="DX120" s="46">
        <v>471</v>
      </c>
      <c r="DY120" s="46">
        <v>513</v>
      </c>
      <c r="DZ120" s="46">
        <v>431</v>
      </c>
      <c r="EA120" s="46">
        <v>454</v>
      </c>
      <c r="EB120" s="46">
        <v>429</v>
      </c>
      <c r="EC120" s="46">
        <v>396</v>
      </c>
      <c r="ED120" s="46">
        <v>481</v>
      </c>
      <c r="EE120" s="46">
        <v>540</v>
      </c>
      <c r="EF120" s="46">
        <v>503</v>
      </c>
      <c r="EG120" s="46">
        <v>510</v>
      </c>
      <c r="EH120" s="46">
        <v>429</v>
      </c>
      <c r="EI120" s="46">
        <v>472</v>
      </c>
      <c r="EJ120" s="46">
        <v>464</v>
      </c>
      <c r="EK120" s="46">
        <v>454</v>
      </c>
      <c r="EL120" s="46">
        <v>403</v>
      </c>
      <c r="EM120" s="46">
        <v>460</v>
      </c>
      <c r="EN120" s="46">
        <v>405</v>
      </c>
      <c r="EO120" s="46">
        <v>464</v>
      </c>
      <c r="EP120" s="46">
        <v>510</v>
      </c>
      <c r="EQ120" s="46">
        <v>522</v>
      </c>
      <c r="ER120" s="46">
        <v>520</v>
      </c>
      <c r="ES120" s="46">
        <v>372</v>
      </c>
      <c r="ET120" s="46">
        <v>1411</v>
      </c>
      <c r="EU120" s="46">
        <v>1321</v>
      </c>
      <c r="EV120" s="46">
        <v>1329</v>
      </c>
      <c r="EW120" s="46">
        <v>1552</v>
      </c>
      <c r="EX120" s="71">
        <v>1494.9848349687777</v>
      </c>
      <c r="EY120" s="71">
        <v>1510.7409948014395</v>
      </c>
      <c r="EZ120" s="71">
        <v>1526.4971546341012</v>
      </c>
      <c r="FA120" s="71">
        <v>1542.2533144667632</v>
      </c>
      <c r="FB120" s="71">
        <v>1558.0094742994247</v>
      </c>
      <c r="FC120" s="71">
        <v>1573.7656341320865</v>
      </c>
      <c r="FD120" s="71">
        <v>1589.521793964748</v>
      </c>
      <c r="FE120" s="71">
        <v>1605.2779537974097</v>
      </c>
      <c r="FF120" s="72">
        <v>235870</v>
      </c>
      <c r="FG120" s="72">
        <v>239428</v>
      </c>
      <c r="FH120" s="476">
        <v>242141</v>
      </c>
      <c r="FI120" s="476">
        <v>243395.682</v>
      </c>
      <c r="FJ120" s="476">
        <v>245095.80900000001</v>
      </c>
      <c r="FK120" s="476">
        <v>246882.14600000001</v>
      </c>
    </row>
    <row r="121" spans="1:167">
      <c r="A121" s="73" t="s">
        <v>946</v>
      </c>
      <c r="B121" s="19" t="s">
        <v>947</v>
      </c>
      <c r="C121" s="74" t="s">
        <v>766</v>
      </c>
      <c r="D121" s="75" t="s">
        <v>414</v>
      </c>
      <c r="E121" s="76">
        <v>210</v>
      </c>
      <c r="F121" s="77">
        <v>285</v>
      </c>
      <c r="G121" s="410">
        <v>210</v>
      </c>
      <c r="H121" s="78">
        <v>30990</v>
      </c>
      <c r="I121" s="77">
        <v>31955</v>
      </c>
      <c r="J121" s="410">
        <v>32816</v>
      </c>
      <c r="K121" s="410">
        <v>33381.262999999999</v>
      </c>
      <c r="L121" s="418">
        <v>33949.798000000003</v>
      </c>
      <c r="M121" s="79">
        <v>671.1</v>
      </c>
      <c r="N121" s="80">
        <v>888.8</v>
      </c>
      <c r="O121" s="421">
        <v>650.9</v>
      </c>
      <c r="P121" s="71">
        <v>200</v>
      </c>
      <c r="Q121" s="75" t="s">
        <v>414</v>
      </c>
      <c r="R121" s="81">
        <v>255</v>
      </c>
      <c r="S121" s="77">
        <v>185</v>
      </c>
      <c r="T121" s="452">
        <v>110</v>
      </c>
      <c r="U121" s="77">
        <v>300</v>
      </c>
      <c r="V121" s="77">
        <v>230</v>
      </c>
      <c r="W121" s="452">
        <v>140</v>
      </c>
      <c r="X121" s="82">
        <v>84.3</v>
      </c>
      <c r="Y121" s="83">
        <v>79.900000000000006</v>
      </c>
      <c r="Z121" s="443">
        <v>80</v>
      </c>
      <c r="AA121" s="63">
        <v>860</v>
      </c>
      <c r="AB121" s="63">
        <v>1000</v>
      </c>
      <c r="AC121" s="19" t="s">
        <v>414</v>
      </c>
      <c r="AD121" s="84">
        <v>319</v>
      </c>
      <c r="AE121" s="85">
        <v>536</v>
      </c>
      <c r="AF121" s="85">
        <v>456</v>
      </c>
      <c r="AG121" s="85">
        <v>563</v>
      </c>
      <c r="AH121" s="85">
        <v>745</v>
      </c>
      <c r="AI121" s="85">
        <v>194</v>
      </c>
      <c r="AJ121" s="85">
        <v>128</v>
      </c>
      <c r="AK121" s="85">
        <v>302</v>
      </c>
      <c r="AL121" s="96">
        <v>220</v>
      </c>
      <c r="AM121" s="96">
        <v>221</v>
      </c>
      <c r="AN121" s="96">
        <v>269</v>
      </c>
      <c r="AO121" s="96">
        <v>382</v>
      </c>
      <c r="AP121" s="96">
        <v>358</v>
      </c>
      <c r="AQ121" s="96">
        <v>164</v>
      </c>
      <c r="AR121" s="96">
        <v>187</v>
      </c>
      <c r="AS121" s="96">
        <v>168</v>
      </c>
      <c r="AT121" s="96">
        <v>96</v>
      </c>
      <c r="AU121" s="96">
        <v>103</v>
      </c>
      <c r="AV121" s="96">
        <v>133</v>
      </c>
      <c r="AW121" s="96">
        <v>109</v>
      </c>
      <c r="AX121" s="97">
        <v>76</v>
      </c>
      <c r="AY121" s="97">
        <v>137</v>
      </c>
      <c r="AZ121" s="97">
        <v>100</v>
      </c>
      <c r="BA121" s="97">
        <v>147</v>
      </c>
      <c r="BB121" s="97">
        <v>143</v>
      </c>
      <c r="BC121" s="97">
        <v>101</v>
      </c>
      <c r="BD121" s="87">
        <v>281</v>
      </c>
      <c r="BE121" s="87">
        <v>253</v>
      </c>
      <c r="BF121" s="87">
        <v>244</v>
      </c>
      <c r="BG121" s="87">
        <v>330</v>
      </c>
      <c r="BH121" s="87">
        <v>232</v>
      </c>
      <c r="BI121" s="87">
        <v>219</v>
      </c>
      <c r="BJ121" s="87">
        <v>218</v>
      </c>
      <c r="BK121" s="87">
        <v>234</v>
      </c>
      <c r="BL121" s="87">
        <v>265</v>
      </c>
      <c r="BM121" s="87">
        <v>157</v>
      </c>
      <c r="BN121" s="87">
        <v>61</v>
      </c>
      <c r="BO121" s="87">
        <v>40</v>
      </c>
      <c r="BP121" s="87">
        <v>41</v>
      </c>
      <c r="BQ121" s="87">
        <v>207</v>
      </c>
      <c r="BR121" s="96">
        <v>172</v>
      </c>
      <c r="BS121" s="96">
        <v>250</v>
      </c>
      <c r="BT121" s="96">
        <v>229</v>
      </c>
      <c r="BU121" s="96">
        <v>263</v>
      </c>
      <c r="BV121" s="67">
        <v>717</v>
      </c>
      <c r="BW121" s="67">
        <v>258</v>
      </c>
      <c r="BX121" s="67">
        <v>420</v>
      </c>
      <c r="BY121" s="67">
        <v>742</v>
      </c>
      <c r="BZ121" s="68">
        <v>333.463424947146</v>
      </c>
      <c r="CA121" s="68">
        <v>288.53128964059204</v>
      </c>
      <c r="CB121" s="68">
        <v>243.59915433403813</v>
      </c>
      <c r="CC121" s="68">
        <v>198.66701902748429</v>
      </c>
      <c r="CD121" s="68">
        <v>153.73488372093044</v>
      </c>
      <c r="CE121" s="68">
        <v>108.80274841437642</v>
      </c>
      <c r="CF121" s="68">
        <v>63.870613107822578</v>
      </c>
      <c r="CG121" s="68">
        <v>18.938477801268732</v>
      </c>
      <c r="CH121" s="87">
        <v>137200</v>
      </c>
      <c r="CI121" s="467">
        <v>137929</v>
      </c>
      <c r="CJ121" s="467">
        <v>139191.905</v>
      </c>
      <c r="CK121" s="467">
        <v>140337.38499999998</v>
      </c>
      <c r="CL121" s="468">
        <v>141427.60899999997</v>
      </c>
      <c r="CM121" s="19" t="s">
        <v>414</v>
      </c>
      <c r="CN121" s="70">
        <v>243</v>
      </c>
      <c r="CO121" s="70">
        <v>272</v>
      </c>
      <c r="CP121" s="70">
        <v>252</v>
      </c>
      <c r="CQ121" s="70">
        <v>266</v>
      </c>
      <c r="CR121" s="70">
        <v>259</v>
      </c>
      <c r="CS121" s="70">
        <v>278</v>
      </c>
      <c r="CT121" s="70">
        <v>272</v>
      </c>
      <c r="CU121" s="70">
        <v>302</v>
      </c>
      <c r="CV121" s="70">
        <v>296</v>
      </c>
      <c r="CW121" s="70">
        <v>322</v>
      </c>
      <c r="CX121" s="70">
        <v>280</v>
      </c>
      <c r="CY121" s="70">
        <v>300</v>
      </c>
      <c r="CZ121" s="70">
        <v>263</v>
      </c>
      <c r="DA121" s="70">
        <v>274</v>
      </c>
      <c r="DB121" s="70">
        <v>271</v>
      </c>
      <c r="DC121" s="70">
        <v>243</v>
      </c>
      <c r="DD121" s="70">
        <v>249</v>
      </c>
      <c r="DE121" s="70">
        <v>244</v>
      </c>
      <c r="DF121" s="70">
        <v>283</v>
      </c>
      <c r="DG121" s="70">
        <v>274</v>
      </c>
      <c r="DH121" s="70">
        <v>300</v>
      </c>
      <c r="DI121" s="70">
        <v>323</v>
      </c>
      <c r="DJ121" s="70">
        <v>240</v>
      </c>
      <c r="DK121" s="70">
        <v>252</v>
      </c>
      <c r="DL121" s="46">
        <v>256</v>
      </c>
      <c r="DM121" s="46">
        <v>263</v>
      </c>
      <c r="DN121" s="46">
        <v>210</v>
      </c>
      <c r="DO121" s="46">
        <v>219</v>
      </c>
      <c r="DP121" s="46">
        <v>229</v>
      </c>
      <c r="DQ121" s="46">
        <v>271</v>
      </c>
      <c r="DR121" s="46">
        <v>243</v>
      </c>
      <c r="DS121" s="46">
        <v>246</v>
      </c>
      <c r="DT121" s="46">
        <v>298</v>
      </c>
      <c r="DU121" s="46">
        <v>271</v>
      </c>
      <c r="DV121" s="46">
        <v>283</v>
      </c>
      <c r="DW121" s="46">
        <v>278</v>
      </c>
      <c r="DX121" s="46">
        <v>312</v>
      </c>
      <c r="DY121" s="46">
        <v>278</v>
      </c>
      <c r="DZ121" s="46">
        <v>248</v>
      </c>
      <c r="EA121" s="46">
        <v>261</v>
      </c>
      <c r="EB121" s="46">
        <v>241</v>
      </c>
      <c r="EC121" s="46">
        <v>258</v>
      </c>
      <c r="ED121" s="46">
        <v>300</v>
      </c>
      <c r="EE121" s="46">
        <v>289</v>
      </c>
      <c r="EF121" s="46">
        <v>331</v>
      </c>
      <c r="EG121" s="46">
        <v>324</v>
      </c>
      <c r="EH121" s="46">
        <v>301</v>
      </c>
      <c r="EI121" s="46">
        <v>327</v>
      </c>
      <c r="EJ121" s="46">
        <v>323</v>
      </c>
      <c r="EK121" s="46">
        <v>291</v>
      </c>
      <c r="EL121" s="46">
        <v>286</v>
      </c>
      <c r="EM121" s="46">
        <v>309</v>
      </c>
      <c r="EN121" s="46">
        <v>274</v>
      </c>
      <c r="EO121" s="46">
        <v>282</v>
      </c>
      <c r="EP121" s="46">
        <v>290</v>
      </c>
      <c r="EQ121" s="46">
        <v>271</v>
      </c>
      <c r="ER121" s="46">
        <v>322</v>
      </c>
      <c r="ES121" s="46">
        <v>253</v>
      </c>
      <c r="ET121" s="46">
        <v>952</v>
      </c>
      <c r="EU121" s="46">
        <v>900</v>
      </c>
      <c r="EV121" s="46">
        <v>865</v>
      </c>
      <c r="EW121" s="46">
        <v>883</v>
      </c>
      <c r="EX121" s="71">
        <v>872.62478082992402</v>
      </c>
      <c r="EY121" s="71">
        <v>876.8012857977792</v>
      </c>
      <c r="EZ121" s="71">
        <v>880.97779076563415</v>
      </c>
      <c r="FA121" s="71">
        <v>885.15429573348933</v>
      </c>
      <c r="FB121" s="71">
        <v>889.3308007013444</v>
      </c>
      <c r="FC121" s="71">
        <v>893.50730566919935</v>
      </c>
      <c r="FD121" s="71">
        <v>897.68381063705442</v>
      </c>
      <c r="FE121" s="71">
        <v>901.86031560490937</v>
      </c>
      <c r="FF121" s="72">
        <v>174274</v>
      </c>
      <c r="FG121" s="72">
        <v>174838</v>
      </c>
      <c r="FH121" s="476">
        <v>175798</v>
      </c>
      <c r="FI121" s="476">
        <v>177100.95199999999</v>
      </c>
      <c r="FJ121" s="476">
        <v>178329.53899999999</v>
      </c>
      <c r="FK121" s="476">
        <v>179638.443</v>
      </c>
    </row>
    <row r="122" spans="1:167">
      <c r="A122" s="73" t="s">
        <v>907</v>
      </c>
      <c r="B122" s="19" t="s">
        <v>908</v>
      </c>
      <c r="C122" s="74" t="s">
        <v>767</v>
      </c>
      <c r="D122" s="75" t="s">
        <v>417</v>
      </c>
      <c r="E122" s="76">
        <v>150</v>
      </c>
      <c r="F122" s="77">
        <v>175</v>
      </c>
      <c r="G122" s="410">
        <v>165</v>
      </c>
      <c r="H122" s="78">
        <v>22425</v>
      </c>
      <c r="I122" s="77">
        <v>22965</v>
      </c>
      <c r="J122" s="410">
        <v>23476</v>
      </c>
      <c r="K122" s="410">
        <v>23527.443000000003</v>
      </c>
      <c r="L122" s="418">
        <v>23842.931</v>
      </c>
      <c r="M122" s="79">
        <v>664.5</v>
      </c>
      <c r="N122" s="80">
        <v>770.8</v>
      </c>
      <c r="O122" s="421">
        <v>709.8</v>
      </c>
      <c r="P122" s="71">
        <v>167</v>
      </c>
      <c r="Q122" s="75" t="s">
        <v>417</v>
      </c>
      <c r="R122" s="81">
        <v>100</v>
      </c>
      <c r="S122" s="77">
        <v>110</v>
      </c>
      <c r="T122" s="452">
        <v>185</v>
      </c>
      <c r="U122" s="77">
        <v>110</v>
      </c>
      <c r="V122" s="77">
        <v>145</v>
      </c>
      <c r="W122" s="452">
        <v>210</v>
      </c>
      <c r="X122" s="82">
        <v>90.7</v>
      </c>
      <c r="Y122" s="83">
        <v>77.2</v>
      </c>
      <c r="Z122" s="443">
        <v>88.1</v>
      </c>
      <c r="AA122" s="63">
        <v>136</v>
      </c>
      <c r="AB122" s="63">
        <v>160</v>
      </c>
      <c r="AC122" s="19" t="s">
        <v>417</v>
      </c>
      <c r="AD122" s="84">
        <v>81</v>
      </c>
      <c r="AE122" s="85">
        <v>161</v>
      </c>
      <c r="AF122" s="85">
        <v>222</v>
      </c>
      <c r="AG122" s="85">
        <v>110</v>
      </c>
      <c r="AH122" s="85">
        <v>134</v>
      </c>
      <c r="AI122" s="85">
        <v>132</v>
      </c>
      <c r="AJ122" s="85">
        <v>190</v>
      </c>
      <c r="AK122" s="85">
        <v>195</v>
      </c>
      <c r="AL122" s="96">
        <v>134</v>
      </c>
      <c r="AM122" s="96">
        <v>132</v>
      </c>
      <c r="AN122" s="96">
        <v>251</v>
      </c>
      <c r="AO122" s="96">
        <v>311</v>
      </c>
      <c r="AP122" s="96">
        <v>376</v>
      </c>
      <c r="AQ122" s="96">
        <v>301</v>
      </c>
      <c r="AR122" s="96">
        <v>325</v>
      </c>
      <c r="AS122" s="96">
        <v>235</v>
      </c>
      <c r="AT122" s="96">
        <v>248</v>
      </c>
      <c r="AU122" s="96">
        <v>438</v>
      </c>
      <c r="AV122" s="96">
        <v>383</v>
      </c>
      <c r="AW122" s="96">
        <v>416</v>
      </c>
      <c r="AX122" s="97">
        <v>333</v>
      </c>
      <c r="AY122" s="97">
        <v>306</v>
      </c>
      <c r="AZ122" s="97">
        <v>267</v>
      </c>
      <c r="BA122" s="97">
        <v>260</v>
      </c>
      <c r="BB122" s="97">
        <v>375</v>
      </c>
      <c r="BC122" s="97">
        <v>401</v>
      </c>
      <c r="BD122" s="87">
        <v>344</v>
      </c>
      <c r="BE122" s="87">
        <v>119</v>
      </c>
      <c r="BF122" s="87">
        <v>152</v>
      </c>
      <c r="BG122" s="87">
        <v>270</v>
      </c>
      <c r="BH122" s="87">
        <v>227</v>
      </c>
      <c r="BI122" s="87">
        <v>158</v>
      </c>
      <c r="BJ122" s="87">
        <v>280</v>
      </c>
      <c r="BK122" s="87">
        <v>199</v>
      </c>
      <c r="BL122" s="87">
        <v>250</v>
      </c>
      <c r="BM122" s="87">
        <v>185</v>
      </c>
      <c r="BN122" s="87">
        <v>122</v>
      </c>
      <c r="BO122" s="87">
        <v>152</v>
      </c>
      <c r="BP122" s="87">
        <v>284</v>
      </c>
      <c r="BQ122" s="87">
        <v>221</v>
      </c>
      <c r="BR122" s="96">
        <v>271</v>
      </c>
      <c r="BS122" s="96">
        <v>234</v>
      </c>
      <c r="BT122" s="96">
        <v>410</v>
      </c>
      <c r="BU122" s="96">
        <v>478</v>
      </c>
      <c r="BV122" s="67">
        <v>729</v>
      </c>
      <c r="BW122" s="67">
        <v>459</v>
      </c>
      <c r="BX122" s="67">
        <v>776</v>
      </c>
      <c r="BY122" s="67">
        <v>1122</v>
      </c>
      <c r="BZ122" s="68">
        <v>909.21775898520082</v>
      </c>
      <c r="CA122" s="68">
        <v>928.90803382663842</v>
      </c>
      <c r="CB122" s="68">
        <v>948.59830866807613</v>
      </c>
      <c r="CC122" s="68">
        <v>968.28858350951384</v>
      </c>
      <c r="CD122" s="68">
        <v>987.97885835095144</v>
      </c>
      <c r="CE122" s="68">
        <v>1007.6691331923889</v>
      </c>
      <c r="CF122" s="68">
        <v>1027.3594080338266</v>
      </c>
      <c r="CG122" s="68">
        <v>1047.0496828752644</v>
      </c>
      <c r="CH122" s="87">
        <v>233300</v>
      </c>
      <c r="CI122" s="467">
        <v>237369</v>
      </c>
      <c r="CJ122" s="467">
        <v>241086.86900000001</v>
      </c>
      <c r="CK122" s="467">
        <v>244755.46400000004</v>
      </c>
      <c r="CL122" s="468">
        <v>248373.80500000002</v>
      </c>
      <c r="CM122" s="19" t="s">
        <v>417</v>
      </c>
      <c r="CN122" s="70">
        <v>358</v>
      </c>
      <c r="CO122" s="70">
        <v>415</v>
      </c>
      <c r="CP122" s="70">
        <v>334</v>
      </c>
      <c r="CQ122" s="70">
        <v>436</v>
      </c>
      <c r="CR122" s="70">
        <v>334</v>
      </c>
      <c r="CS122" s="70">
        <v>361</v>
      </c>
      <c r="CT122" s="70">
        <v>427</v>
      </c>
      <c r="CU122" s="70">
        <v>425</v>
      </c>
      <c r="CV122" s="70">
        <v>458</v>
      </c>
      <c r="CW122" s="70">
        <v>457</v>
      </c>
      <c r="CX122" s="70">
        <v>394</v>
      </c>
      <c r="CY122" s="70">
        <v>391</v>
      </c>
      <c r="CZ122" s="70">
        <v>361</v>
      </c>
      <c r="DA122" s="70">
        <v>400</v>
      </c>
      <c r="DB122" s="70">
        <v>358</v>
      </c>
      <c r="DC122" s="70">
        <v>385</v>
      </c>
      <c r="DD122" s="70">
        <v>394</v>
      </c>
      <c r="DE122" s="70">
        <v>453</v>
      </c>
      <c r="DF122" s="70">
        <v>423</v>
      </c>
      <c r="DG122" s="70">
        <v>456</v>
      </c>
      <c r="DH122" s="70">
        <v>545</v>
      </c>
      <c r="DI122" s="70">
        <v>517</v>
      </c>
      <c r="DJ122" s="70">
        <v>450</v>
      </c>
      <c r="DK122" s="70">
        <v>436</v>
      </c>
      <c r="DL122" s="46">
        <v>435</v>
      </c>
      <c r="DM122" s="46">
        <v>420</v>
      </c>
      <c r="DN122" s="46">
        <v>423</v>
      </c>
      <c r="DO122" s="46">
        <v>413</v>
      </c>
      <c r="DP122" s="46">
        <v>409</v>
      </c>
      <c r="DQ122" s="46">
        <v>407</v>
      </c>
      <c r="DR122" s="46">
        <v>437</v>
      </c>
      <c r="DS122" s="46">
        <v>430</v>
      </c>
      <c r="DT122" s="46">
        <v>534</v>
      </c>
      <c r="DU122" s="46">
        <v>440</v>
      </c>
      <c r="DV122" s="46">
        <v>493</v>
      </c>
      <c r="DW122" s="46">
        <v>458</v>
      </c>
      <c r="DX122" s="46">
        <v>436</v>
      </c>
      <c r="DY122" s="46">
        <v>463</v>
      </c>
      <c r="DZ122" s="46">
        <v>412</v>
      </c>
      <c r="EA122" s="46">
        <v>450</v>
      </c>
      <c r="EB122" s="46">
        <v>389</v>
      </c>
      <c r="EC122" s="46">
        <v>426</v>
      </c>
      <c r="ED122" s="46">
        <v>434</v>
      </c>
      <c r="EE122" s="46">
        <v>462</v>
      </c>
      <c r="EF122" s="46">
        <v>521</v>
      </c>
      <c r="EG122" s="46">
        <v>528</v>
      </c>
      <c r="EH122" s="46">
        <v>476</v>
      </c>
      <c r="EI122" s="46">
        <v>493</v>
      </c>
      <c r="EJ122" s="46">
        <v>478</v>
      </c>
      <c r="EK122" s="46">
        <v>480</v>
      </c>
      <c r="EL122" s="46">
        <v>435</v>
      </c>
      <c r="EM122" s="46">
        <v>479</v>
      </c>
      <c r="EN122" s="46">
        <v>396</v>
      </c>
      <c r="EO122" s="46">
        <v>441</v>
      </c>
      <c r="EP122" s="46">
        <v>468</v>
      </c>
      <c r="EQ122" s="46">
        <v>462</v>
      </c>
      <c r="ER122" s="46">
        <v>531</v>
      </c>
      <c r="ES122" s="46">
        <v>333</v>
      </c>
      <c r="ET122" s="46">
        <v>1497</v>
      </c>
      <c r="EU122" s="46">
        <v>1393</v>
      </c>
      <c r="EV122" s="46">
        <v>1316</v>
      </c>
      <c r="EW122" s="46">
        <v>1461</v>
      </c>
      <c r="EX122" s="71">
        <v>1435.8699129471838</v>
      </c>
      <c r="EY122" s="71">
        <v>1447.8069765295763</v>
      </c>
      <c r="EZ122" s="71">
        <v>1459.7440401119691</v>
      </c>
      <c r="FA122" s="71">
        <v>1471.6811036943616</v>
      </c>
      <c r="FB122" s="71">
        <v>1483.6181672767543</v>
      </c>
      <c r="FC122" s="71">
        <v>1495.5552308591468</v>
      </c>
      <c r="FD122" s="71">
        <v>1507.4922944415393</v>
      </c>
      <c r="FE122" s="71">
        <v>1519.4293580239319</v>
      </c>
      <c r="FF122" s="72">
        <v>288717</v>
      </c>
      <c r="FG122" s="72">
        <v>293530</v>
      </c>
      <c r="FH122" s="476">
        <v>298464</v>
      </c>
      <c r="FI122" s="476">
        <v>302289.79599999997</v>
      </c>
      <c r="FJ122" s="476">
        <v>306486.57699999999</v>
      </c>
      <c r="FK122" s="476">
        <v>310934.13299999997</v>
      </c>
    </row>
    <row r="123" spans="1:167">
      <c r="A123" s="73" t="s">
        <v>948</v>
      </c>
      <c r="B123" s="19" t="s">
        <v>949</v>
      </c>
      <c r="C123" s="74" t="s">
        <v>768</v>
      </c>
      <c r="D123" s="75" t="s">
        <v>420</v>
      </c>
      <c r="E123" s="76">
        <v>335</v>
      </c>
      <c r="F123" s="77">
        <v>230</v>
      </c>
      <c r="G123" s="410">
        <v>285</v>
      </c>
      <c r="H123" s="78">
        <v>31660</v>
      </c>
      <c r="I123" s="77">
        <v>33060</v>
      </c>
      <c r="J123" s="410">
        <v>33972</v>
      </c>
      <c r="K123" s="410">
        <v>34829.252</v>
      </c>
      <c r="L123" s="418">
        <v>35577.510000000009</v>
      </c>
      <c r="M123" s="79">
        <v>1051.8</v>
      </c>
      <c r="N123" s="80">
        <v>689.7</v>
      </c>
      <c r="O123" s="421">
        <v>862.1</v>
      </c>
      <c r="P123" s="71">
        <v>251</v>
      </c>
      <c r="Q123" s="75" t="s">
        <v>420</v>
      </c>
      <c r="R123" s="81">
        <v>65</v>
      </c>
      <c r="S123" s="77">
        <v>75</v>
      </c>
      <c r="T123" s="452">
        <v>95</v>
      </c>
      <c r="U123" s="77">
        <v>70</v>
      </c>
      <c r="V123" s="77">
        <v>90</v>
      </c>
      <c r="W123" s="452">
        <v>105</v>
      </c>
      <c r="X123" s="82">
        <v>93</v>
      </c>
      <c r="Y123" s="83">
        <v>84.6</v>
      </c>
      <c r="Z123" s="443">
        <v>88.6</v>
      </c>
      <c r="AA123" s="63">
        <v>112</v>
      </c>
      <c r="AB123" s="63">
        <v>132</v>
      </c>
      <c r="AC123" s="19" t="s">
        <v>420</v>
      </c>
      <c r="AD123" s="84">
        <v>170</v>
      </c>
      <c r="AE123" s="85">
        <v>306</v>
      </c>
      <c r="AF123" s="85">
        <v>181</v>
      </c>
      <c r="AG123" s="85">
        <v>83</v>
      </c>
      <c r="AH123" s="85">
        <v>168</v>
      </c>
      <c r="AI123" s="85">
        <v>215</v>
      </c>
      <c r="AJ123" s="85">
        <v>201</v>
      </c>
      <c r="AK123" s="85">
        <v>264</v>
      </c>
      <c r="AL123" s="96">
        <v>202</v>
      </c>
      <c r="AM123" s="96">
        <v>324</v>
      </c>
      <c r="AN123" s="96">
        <v>252</v>
      </c>
      <c r="AO123" s="96">
        <v>289</v>
      </c>
      <c r="AP123" s="96">
        <v>237</v>
      </c>
      <c r="AQ123" s="96">
        <v>211</v>
      </c>
      <c r="AR123" s="96">
        <v>264</v>
      </c>
      <c r="AS123" s="96">
        <v>169</v>
      </c>
      <c r="AT123" s="96">
        <v>206</v>
      </c>
      <c r="AU123" s="96">
        <v>169</v>
      </c>
      <c r="AV123" s="96">
        <v>266</v>
      </c>
      <c r="AW123" s="96">
        <v>340</v>
      </c>
      <c r="AX123" s="97">
        <v>266</v>
      </c>
      <c r="AY123" s="97">
        <v>228</v>
      </c>
      <c r="AZ123" s="97">
        <v>359</v>
      </c>
      <c r="BA123" s="97">
        <v>329</v>
      </c>
      <c r="BB123" s="97">
        <v>149</v>
      </c>
      <c r="BC123" s="97">
        <v>190</v>
      </c>
      <c r="BD123" s="87">
        <v>400</v>
      </c>
      <c r="BE123" s="87">
        <v>202</v>
      </c>
      <c r="BF123" s="87">
        <v>142</v>
      </c>
      <c r="BG123" s="87">
        <v>346</v>
      </c>
      <c r="BH123" s="87">
        <v>218</v>
      </c>
      <c r="BI123" s="87">
        <v>244</v>
      </c>
      <c r="BJ123" s="87">
        <v>290</v>
      </c>
      <c r="BK123" s="87">
        <v>276</v>
      </c>
      <c r="BL123" s="87">
        <v>297</v>
      </c>
      <c r="BM123" s="87">
        <v>255</v>
      </c>
      <c r="BN123" s="87">
        <v>231</v>
      </c>
      <c r="BO123" s="87">
        <v>160</v>
      </c>
      <c r="BP123" s="87">
        <v>190</v>
      </c>
      <c r="BQ123" s="87">
        <v>258</v>
      </c>
      <c r="BR123" s="96">
        <v>205</v>
      </c>
      <c r="BS123" s="96">
        <v>331</v>
      </c>
      <c r="BT123" s="96">
        <v>210</v>
      </c>
      <c r="BU123" s="96">
        <v>299</v>
      </c>
      <c r="BV123" s="67">
        <v>863</v>
      </c>
      <c r="BW123" s="67">
        <v>646</v>
      </c>
      <c r="BX123" s="67">
        <v>653</v>
      </c>
      <c r="BY123" s="67">
        <v>840</v>
      </c>
      <c r="BZ123" s="68">
        <v>798.69344608879499</v>
      </c>
      <c r="CA123" s="68">
        <v>808.46088794926004</v>
      </c>
      <c r="CB123" s="68">
        <v>818.22832980972521</v>
      </c>
      <c r="CC123" s="68">
        <v>827.99577167019038</v>
      </c>
      <c r="CD123" s="68">
        <v>837.76321353065543</v>
      </c>
      <c r="CE123" s="68">
        <v>847.53065539112049</v>
      </c>
      <c r="CF123" s="68">
        <v>857.29809725158566</v>
      </c>
      <c r="CG123" s="68">
        <v>867.06553911205083</v>
      </c>
      <c r="CH123" s="87">
        <v>139700</v>
      </c>
      <c r="CI123" s="467">
        <v>139950</v>
      </c>
      <c r="CJ123" s="467">
        <v>140919.82600000003</v>
      </c>
      <c r="CK123" s="467">
        <v>141649.14199999996</v>
      </c>
      <c r="CL123" s="468">
        <v>142261.85099999997</v>
      </c>
      <c r="CM123" s="19" t="s">
        <v>420</v>
      </c>
      <c r="CN123" s="70">
        <v>355</v>
      </c>
      <c r="CO123" s="70">
        <v>337</v>
      </c>
      <c r="CP123" s="70">
        <v>356</v>
      </c>
      <c r="CQ123" s="70">
        <v>406</v>
      </c>
      <c r="CR123" s="70">
        <v>324</v>
      </c>
      <c r="CS123" s="70">
        <v>369</v>
      </c>
      <c r="CT123" s="70">
        <v>466</v>
      </c>
      <c r="CU123" s="70">
        <v>447</v>
      </c>
      <c r="CV123" s="70">
        <v>489</v>
      </c>
      <c r="CW123" s="70">
        <v>355</v>
      </c>
      <c r="CX123" s="70">
        <v>361</v>
      </c>
      <c r="CY123" s="70">
        <v>425</v>
      </c>
      <c r="CZ123" s="70">
        <v>419</v>
      </c>
      <c r="DA123" s="70">
        <v>394</v>
      </c>
      <c r="DB123" s="70">
        <v>376</v>
      </c>
      <c r="DC123" s="70">
        <v>361</v>
      </c>
      <c r="DD123" s="70">
        <v>402</v>
      </c>
      <c r="DE123" s="70">
        <v>423</v>
      </c>
      <c r="DF123" s="70">
        <v>379</v>
      </c>
      <c r="DG123" s="70">
        <v>435</v>
      </c>
      <c r="DH123" s="70">
        <v>503</v>
      </c>
      <c r="DI123" s="70">
        <v>476</v>
      </c>
      <c r="DJ123" s="70">
        <v>428</v>
      </c>
      <c r="DK123" s="70">
        <v>456</v>
      </c>
      <c r="DL123" s="46">
        <v>408</v>
      </c>
      <c r="DM123" s="46">
        <v>376</v>
      </c>
      <c r="DN123" s="46">
        <v>395</v>
      </c>
      <c r="DO123" s="46">
        <v>393</v>
      </c>
      <c r="DP123" s="46">
        <v>368</v>
      </c>
      <c r="DQ123" s="46">
        <v>350</v>
      </c>
      <c r="DR123" s="46">
        <v>384</v>
      </c>
      <c r="DS123" s="46">
        <v>386</v>
      </c>
      <c r="DT123" s="46">
        <v>427</v>
      </c>
      <c r="DU123" s="46">
        <v>413</v>
      </c>
      <c r="DV123" s="46">
        <v>416</v>
      </c>
      <c r="DW123" s="46">
        <v>390</v>
      </c>
      <c r="DX123" s="46">
        <v>437</v>
      </c>
      <c r="DY123" s="46">
        <v>410</v>
      </c>
      <c r="DZ123" s="46">
        <v>399</v>
      </c>
      <c r="EA123" s="46">
        <v>421</v>
      </c>
      <c r="EB123" s="46">
        <v>368</v>
      </c>
      <c r="EC123" s="46">
        <v>345</v>
      </c>
      <c r="ED123" s="46">
        <v>469</v>
      </c>
      <c r="EE123" s="46">
        <v>434</v>
      </c>
      <c r="EF123" s="46">
        <v>503</v>
      </c>
      <c r="EG123" s="46">
        <v>448</v>
      </c>
      <c r="EH123" s="46">
        <v>427</v>
      </c>
      <c r="EI123" s="46">
        <v>462</v>
      </c>
      <c r="EJ123" s="46">
        <v>461</v>
      </c>
      <c r="EK123" s="46">
        <v>384</v>
      </c>
      <c r="EL123" s="46">
        <v>373</v>
      </c>
      <c r="EM123" s="46">
        <v>433</v>
      </c>
      <c r="EN123" s="46">
        <v>340</v>
      </c>
      <c r="EO123" s="46">
        <v>372</v>
      </c>
      <c r="EP123" s="46">
        <v>359</v>
      </c>
      <c r="EQ123" s="46">
        <v>390</v>
      </c>
      <c r="ER123" s="46">
        <v>506</v>
      </c>
      <c r="ES123" s="46">
        <v>361</v>
      </c>
      <c r="ET123" s="46">
        <v>1337</v>
      </c>
      <c r="EU123" s="46">
        <v>1218</v>
      </c>
      <c r="EV123" s="46">
        <v>1145</v>
      </c>
      <c r="EW123" s="46">
        <v>1255</v>
      </c>
      <c r="EX123" s="71">
        <v>1256.0549386323787</v>
      </c>
      <c r="EY123" s="71">
        <v>1259.5581531268263</v>
      </c>
      <c r="EZ123" s="71">
        <v>1263.0613676212743</v>
      </c>
      <c r="FA123" s="71">
        <v>1266.5645821157218</v>
      </c>
      <c r="FB123" s="71">
        <v>1270.0677966101696</v>
      </c>
      <c r="FC123" s="71">
        <v>1273.5710111046171</v>
      </c>
      <c r="FD123" s="71">
        <v>1277.0742255990649</v>
      </c>
      <c r="FE123" s="71">
        <v>1280.5774400935127</v>
      </c>
      <c r="FF123" s="72">
        <v>175405</v>
      </c>
      <c r="FG123" s="72">
        <v>176114</v>
      </c>
      <c r="FH123" s="476">
        <v>176221</v>
      </c>
      <c r="FI123" s="476">
        <v>177303.44099999999</v>
      </c>
      <c r="FJ123" s="476">
        <v>178018.55499999999</v>
      </c>
      <c r="FK123" s="476">
        <v>178762.23</v>
      </c>
    </row>
    <row r="124" spans="1:167">
      <c r="A124" s="73" t="s">
        <v>954</v>
      </c>
      <c r="B124" s="19" t="s">
        <v>955</v>
      </c>
      <c r="C124" s="74" t="s">
        <v>769</v>
      </c>
      <c r="D124" s="75" t="s">
        <v>423</v>
      </c>
      <c r="E124" s="76">
        <v>960</v>
      </c>
      <c r="F124" s="77">
        <v>1095</v>
      </c>
      <c r="G124" s="410">
        <v>1120</v>
      </c>
      <c r="H124" s="78">
        <v>158280</v>
      </c>
      <c r="I124" s="77">
        <v>165475</v>
      </c>
      <c r="J124" s="410">
        <v>170882</v>
      </c>
      <c r="K124" s="410">
        <v>176422.27400000006</v>
      </c>
      <c r="L124" s="418">
        <v>181236.736</v>
      </c>
      <c r="M124" s="79">
        <v>606.5</v>
      </c>
      <c r="N124" s="80">
        <v>661.1</v>
      </c>
      <c r="O124" s="421">
        <v>676.2</v>
      </c>
      <c r="P124" s="71">
        <v>1155</v>
      </c>
      <c r="Q124" s="75" t="s">
        <v>423</v>
      </c>
      <c r="R124" s="81">
        <v>1315</v>
      </c>
      <c r="S124" s="77">
        <v>455</v>
      </c>
      <c r="T124" s="452">
        <v>615</v>
      </c>
      <c r="U124" s="77">
        <v>1525</v>
      </c>
      <c r="V124" s="77">
        <v>530</v>
      </c>
      <c r="W124" s="452">
        <v>715</v>
      </c>
      <c r="X124" s="82">
        <v>86.1</v>
      </c>
      <c r="Y124" s="83">
        <v>85.9</v>
      </c>
      <c r="Z124" s="443">
        <v>86.3</v>
      </c>
      <c r="AA124" s="63">
        <v>455</v>
      </c>
      <c r="AB124" s="63">
        <v>530</v>
      </c>
      <c r="AC124" s="19" t="s">
        <v>423</v>
      </c>
      <c r="AD124" s="84">
        <v>2411</v>
      </c>
      <c r="AE124" s="85">
        <v>2432</v>
      </c>
      <c r="AF124" s="85">
        <v>2113</v>
      </c>
      <c r="AG124" s="85">
        <v>1937</v>
      </c>
      <c r="AH124" s="85">
        <v>1618</v>
      </c>
      <c r="AI124" s="85">
        <v>1707</v>
      </c>
      <c r="AJ124" s="85">
        <v>1988</v>
      </c>
      <c r="AK124" s="85">
        <v>1996</v>
      </c>
      <c r="AL124" s="96">
        <v>1682</v>
      </c>
      <c r="AM124" s="96">
        <v>1878</v>
      </c>
      <c r="AN124" s="96">
        <v>1963</v>
      </c>
      <c r="AO124" s="96">
        <v>1857</v>
      </c>
      <c r="AP124" s="96">
        <v>1678</v>
      </c>
      <c r="AQ124" s="96">
        <v>1503</v>
      </c>
      <c r="AR124" s="96">
        <v>1314</v>
      </c>
      <c r="AS124" s="96">
        <v>1328</v>
      </c>
      <c r="AT124" s="96">
        <v>1440</v>
      </c>
      <c r="AU124" s="96">
        <v>1556</v>
      </c>
      <c r="AV124" s="96">
        <v>1460</v>
      </c>
      <c r="AW124" s="96">
        <v>1525</v>
      </c>
      <c r="AX124" s="97">
        <v>1590</v>
      </c>
      <c r="AY124" s="97">
        <v>1741</v>
      </c>
      <c r="AZ124" s="97">
        <v>2440</v>
      </c>
      <c r="BA124" s="97">
        <v>2175</v>
      </c>
      <c r="BB124" s="97">
        <v>1910</v>
      </c>
      <c r="BC124" s="97">
        <v>2077</v>
      </c>
      <c r="BD124" s="87">
        <v>1749</v>
      </c>
      <c r="BE124" s="87">
        <v>1929</v>
      </c>
      <c r="BF124" s="87">
        <v>1465</v>
      </c>
      <c r="BG124" s="87">
        <v>2070</v>
      </c>
      <c r="BH124" s="87">
        <v>1727</v>
      </c>
      <c r="BI124" s="87">
        <v>1471</v>
      </c>
      <c r="BJ124" s="87">
        <v>1744</v>
      </c>
      <c r="BK124" s="87">
        <v>1876</v>
      </c>
      <c r="BL124" s="87">
        <v>1592</v>
      </c>
      <c r="BM124" s="87">
        <v>1771</v>
      </c>
      <c r="BN124" s="87">
        <v>1669</v>
      </c>
      <c r="BO124" s="87">
        <v>1815</v>
      </c>
      <c r="BP124" s="87">
        <v>1835</v>
      </c>
      <c r="BQ124" s="87">
        <v>1819</v>
      </c>
      <c r="BR124" s="96">
        <v>1694</v>
      </c>
      <c r="BS124" s="96">
        <v>1902</v>
      </c>
      <c r="BT124" s="96">
        <v>1710</v>
      </c>
      <c r="BU124" s="96">
        <v>1971</v>
      </c>
      <c r="BV124" s="67">
        <v>5212</v>
      </c>
      <c r="BW124" s="67">
        <v>5255</v>
      </c>
      <c r="BX124" s="67">
        <v>5348</v>
      </c>
      <c r="BY124" s="67">
        <v>5583</v>
      </c>
      <c r="BZ124" s="68">
        <v>5148.4651162790697</v>
      </c>
      <c r="CA124" s="68">
        <v>5116.9809725158557</v>
      </c>
      <c r="CB124" s="68">
        <v>5085.4968287526426</v>
      </c>
      <c r="CC124" s="68">
        <v>5054.0126849894295</v>
      </c>
      <c r="CD124" s="68">
        <v>5022.5285412262156</v>
      </c>
      <c r="CE124" s="68">
        <v>4991.0443974630016</v>
      </c>
      <c r="CF124" s="68">
        <v>4959.5602536997885</v>
      </c>
      <c r="CG124" s="68">
        <v>4928.0761099365745</v>
      </c>
      <c r="CH124" s="87">
        <v>681600</v>
      </c>
      <c r="CI124" s="467">
        <v>686778</v>
      </c>
      <c r="CJ124" s="467">
        <v>688204.0480000003</v>
      </c>
      <c r="CK124" s="467">
        <v>692095.93099999882</v>
      </c>
      <c r="CL124" s="468">
        <v>695674.81400000083</v>
      </c>
      <c r="CM124" s="19" t="s">
        <v>423</v>
      </c>
      <c r="CN124" s="70">
        <v>1318</v>
      </c>
      <c r="CO124" s="70">
        <v>1387</v>
      </c>
      <c r="CP124" s="70">
        <v>1266</v>
      </c>
      <c r="CQ124" s="70">
        <v>1342</v>
      </c>
      <c r="CR124" s="70">
        <v>1224</v>
      </c>
      <c r="CS124" s="70">
        <v>1379</v>
      </c>
      <c r="CT124" s="70">
        <v>1562</v>
      </c>
      <c r="CU124" s="70">
        <v>1564</v>
      </c>
      <c r="CV124" s="70">
        <v>1887</v>
      </c>
      <c r="CW124" s="70">
        <v>1398</v>
      </c>
      <c r="CX124" s="70">
        <v>1442</v>
      </c>
      <c r="CY124" s="70">
        <v>1557</v>
      </c>
      <c r="CZ124" s="70">
        <v>1512</v>
      </c>
      <c r="DA124" s="70">
        <v>1451</v>
      </c>
      <c r="DB124" s="70">
        <v>1371</v>
      </c>
      <c r="DC124" s="70">
        <v>1377</v>
      </c>
      <c r="DD124" s="70">
        <v>1334</v>
      </c>
      <c r="DE124" s="70">
        <v>1374</v>
      </c>
      <c r="DF124" s="70">
        <v>1457</v>
      </c>
      <c r="DG124" s="70">
        <v>1506</v>
      </c>
      <c r="DH124" s="70">
        <v>1944</v>
      </c>
      <c r="DI124" s="70">
        <v>1758</v>
      </c>
      <c r="DJ124" s="70">
        <v>1475</v>
      </c>
      <c r="DK124" s="70">
        <v>1659</v>
      </c>
      <c r="DL124" s="46">
        <v>1461</v>
      </c>
      <c r="DM124" s="46">
        <v>1393</v>
      </c>
      <c r="DN124" s="46">
        <v>1321</v>
      </c>
      <c r="DO124" s="46">
        <v>1317</v>
      </c>
      <c r="DP124" s="46">
        <v>1348</v>
      </c>
      <c r="DQ124" s="46">
        <v>1327</v>
      </c>
      <c r="DR124" s="46">
        <v>1534</v>
      </c>
      <c r="DS124" s="46">
        <v>1462</v>
      </c>
      <c r="DT124" s="46">
        <v>1891</v>
      </c>
      <c r="DU124" s="46">
        <v>1747</v>
      </c>
      <c r="DV124" s="46">
        <v>1712</v>
      </c>
      <c r="DW124" s="46">
        <v>1662</v>
      </c>
      <c r="DX124" s="46">
        <v>1621</v>
      </c>
      <c r="DY124" s="46">
        <v>1624</v>
      </c>
      <c r="DZ124" s="46">
        <v>1580</v>
      </c>
      <c r="EA124" s="46">
        <v>1621</v>
      </c>
      <c r="EB124" s="46">
        <v>1510</v>
      </c>
      <c r="EC124" s="46">
        <v>1496</v>
      </c>
      <c r="ED124" s="46">
        <v>1660</v>
      </c>
      <c r="EE124" s="46">
        <v>1843</v>
      </c>
      <c r="EF124" s="46">
        <v>2141</v>
      </c>
      <c r="EG124" s="46">
        <v>1825</v>
      </c>
      <c r="EH124" s="46">
        <v>1769</v>
      </c>
      <c r="EI124" s="46">
        <v>1978</v>
      </c>
      <c r="EJ124" s="46">
        <v>1772</v>
      </c>
      <c r="EK124" s="46">
        <v>1613</v>
      </c>
      <c r="EL124" s="46">
        <v>1487</v>
      </c>
      <c r="EM124" s="46">
        <v>1493</v>
      </c>
      <c r="EN124" s="46">
        <v>1380</v>
      </c>
      <c r="EO124" s="46">
        <v>1483</v>
      </c>
      <c r="EP124" s="46">
        <v>1656</v>
      </c>
      <c r="EQ124" s="46">
        <v>1621</v>
      </c>
      <c r="ER124" s="46">
        <v>1869</v>
      </c>
      <c r="ES124" s="46">
        <v>1427</v>
      </c>
      <c r="ET124" s="46">
        <v>5572</v>
      </c>
      <c r="EU124" s="46">
        <v>4872</v>
      </c>
      <c r="EV124" s="46">
        <v>4356</v>
      </c>
      <c r="EW124" s="46">
        <v>5146</v>
      </c>
      <c r="EX124" s="71">
        <v>5182.1573102833063</v>
      </c>
      <c r="EY124" s="71">
        <v>5229.9044572272296</v>
      </c>
      <c r="EZ124" s="71">
        <v>5277.6516041711529</v>
      </c>
      <c r="FA124" s="71">
        <v>5325.3987511150754</v>
      </c>
      <c r="FB124" s="71">
        <v>5373.1458980589987</v>
      </c>
      <c r="FC124" s="71">
        <v>5420.893045002922</v>
      </c>
      <c r="FD124" s="71">
        <v>5468.6401919468444</v>
      </c>
      <c r="FE124" s="71">
        <v>5516.3873388907687</v>
      </c>
      <c r="FF124" s="72">
        <v>849546</v>
      </c>
      <c r="FG124" s="72">
        <v>852123</v>
      </c>
      <c r="FH124" s="476">
        <v>857007</v>
      </c>
      <c r="FI124" s="476">
        <v>857471.46299999999</v>
      </c>
      <c r="FJ124" s="476">
        <v>860592.255</v>
      </c>
      <c r="FK124" s="476">
        <v>863822.52799999993</v>
      </c>
    </row>
    <row r="125" spans="1:167">
      <c r="A125" s="73" t="s">
        <v>913</v>
      </c>
      <c r="B125" s="19" t="s">
        <v>914</v>
      </c>
      <c r="C125" s="74" t="s">
        <v>770</v>
      </c>
      <c r="D125" s="75" t="s">
        <v>426</v>
      </c>
      <c r="E125" s="76">
        <v>380</v>
      </c>
      <c r="F125" s="77">
        <v>400</v>
      </c>
      <c r="G125" s="410">
        <v>415</v>
      </c>
      <c r="H125" s="78">
        <v>51395</v>
      </c>
      <c r="I125" s="77">
        <v>53240</v>
      </c>
      <c r="J125" s="410">
        <v>54507</v>
      </c>
      <c r="K125" s="410">
        <v>55636.521000000001</v>
      </c>
      <c r="L125" s="418">
        <v>56663.595000000001</v>
      </c>
      <c r="M125" s="79">
        <v>743.3</v>
      </c>
      <c r="N125" s="80">
        <v>753.2</v>
      </c>
      <c r="O125" s="421">
        <v>775.7</v>
      </c>
      <c r="P125" s="71">
        <v>415</v>
      </c>
      <c r="Q125" s="75" t="s">
        <v>426</v>
      </c>
      <c r="R125" s="81">
        <v>365</v>
      </c>
      <c r="S125" s="77">
        <v>410</v>
      </c>
      <c r="T125" s="452">
        <v>330</v>
      </c>
      <c r="U125" s="77">
        <v>405</v>
      </c>
      <c r="V125" s="77">
        <v>475</v>
      </c>
      <c r="W125" s="452">
        <v>370</v>
      </c>
      <c r="X125" s="82">
        <v>90.2</v>
      </c>
      <c r="Y125" s="83">
        <v>86.2</v>
      </c>
      <c r="Z125" s="443">
        <v>88.9</v>
      </c>
      <c r="AA125" s="63">
        <v>403</v>
      </c>
      <c r="AB125" s="63">
        <v>477</v>
      </c>
      <c r="AC125" s="19" t="s">
        <v>426</v>
      </c>
      <c r="AD125" s="84">
        <v>198</v>
      </c>
      <c r="AE125" s="85">
        <v>256</v>
      </c>
      <c r="AF125" s="85">
        <v>296</v>
      </c>
      <c r="AG125" s="85">
        <v>586</v>
      </c>
      <c r="AH125" s="85">
        <v>686</v>
      </c>
      <c r="AI125" s="85">
        <v>627</v>
      </c>
      <c r="AJ125" s="85">
        <v>744</v>
      </c>
      <c r="AK125" s="85">
        <v>1093</v>
      </c>
      <c r="AL125" s="96">
        <v>631</v>
      </c>
      <c r="AM125" s="96">
        <v>728</v>
      </c>
      <c r="AN125" s="96">
        <v>547</v>
      </c>
      <c r="AO125" s="96">
        <v>571</v>
      </c>
      <c r="AP125" s="96">
        <v>474</v>
      </c>
      <c r="AQ125" s="96">
        <v>732</v>
      </c>
      <c r="AR125" s="96">
        <v>591</v>
      </c>
      <c r="AS125" s="96">
        <v>512</v>
      </c>
      <c r="AT125" s="96">
        <v>649</v>
      </c>
      <c r="AU125" s="96">
        <v>716</v>
      </c>
      <c r="AV125" s="96">
        <v>588</v>
      </c>
      <c r="AW125" s="96">
        <v>714</v>
      </c>
      <c r="AX125" s="97">
        <v>611</v>
      </c>
      <c r="AY125" s="97">
        <v>666</v>
      </c>
      <c r="AZ125" s="97">
        <v>602</v>
      </c>
      <c r="BA125" s="97">
        <v>610</v>
      </c>
      <c r="BB125" s="97">
        <v>506</v>
      </c>
      <c r="BC125" s="97">
        <v>281</v>
      </c>
      <c r="BD125" s="87">
        <v>339</v>
      </c>
      <c r="BE125" s="87">
        <v>548</v>
      </c>
      <c r="BF125" s="87">
        <v>382</v>
      </c>
      <c r="BG125" s="87">
        <v>471</v>
      </c>
      <c r="BH125" s="87">
        <v>370</v>
      </c>
      <c r="BI125" s="87">
        <v>323</v>
      </c>
      <c r="BJ125" s="87">
        <v>431</v>
      </c>
      <c r="BK125" s="87">
        <v>381</v>
      </c>
      <c r="BL125" s="87">
        <v>280</v>
      </c>
      <c r="BM125" s="87">
        <v>197</v>
      </c>
      <c r="BN125" s="87">
        <v>398</v>
      </c>
      <c r="BO125" s="87">
        <v>439</v>
      </c>
      <c r="BP125" s="87">
        <v>423</v>
      </c>
      <c r="BQ125" s="87">
        <v>292</v>
      </c>
      <c r="BR125" s="96">
        <v>274</v>
      </c>
      <c r="BS125" s="96">
        <v>468</v>
      </c>
      <c r="BT125" s="96">
        <v>291</v>
      </c>
      <c r="BU125" s="96">
        <v>379</v>
      </c>
      <c r="BV125" s="67">
        <v>1092</v>
      </c>
      <c r="BW125" s="67">
        <v>1034</v>
      </c>
      <c r="BX125" s="67">
        <v>989</v>
      </c>
      <c r="BY125" s="67">
        <v>1138</v>
      </c>
      <c r="BZ125" s="68">
        <v>1017.7898520084568</v>
      </c>
      <c r="CA125" s="68">
        <v>957.09281183932353</v>
      </c>
      <c r="CB125" s="68">
        <v>896.39577167019036</v>
      </c>
      <c r="CC125" s="68">
        <v>835.69873150105707</v>
      </c>
      <c r="CD125" s="68">
        <v>775.00169133192389</v>
      </c>
      <c r="CE125" s="68">
        <v>714.30465116279061</v>
      </c>
      <c r="CF125" s="68">
        <v>653.60761099365754</v>
      </c>
      <c r="CG125" s="68">
        <v>592.91057082452448</v>
      </c>
      <c r="CH125" s="87">
        <v>223200</v>
      </c>
      <c r="CI125" s="467">
        <v>224011</v>
      </c>
      <c r="CJ125" s="467">
        <v>225009.12600000002</v>
      </c>
      <c r="CK125" s="467">
        <v>226152.609</v>
      </c>
      <c r="CL125" s="468">
        <v>227114.34499999988</v>
      </c>
      <c r="CM125" s="19" t="s">
        <v>426</v>
      </c>
      <c r="CN125" s="70">
        <v>585</v>
      </c>
      <c r="CO125" s="70">
        <v>519</v>
      </c>
      <c r="CP125" s="70">
        <v>549</v>
      </c>
      <c r="CQ125" s="70">
        <v>612</v>
      </c>
      <c r="CR125" s="70">
        <v>532</v>
      </c>
      <c r="CS125" s="70">
        <v>494</v>
      </c>
      <c r="CT125" s="70">
        <v>633</v>
      </c>
      <c r="CU125" s="70">
        <v>603</v>
      </c>
      <c r="CV125" s="70">
        <v>662</v>
      </c>
      <c r="CW125" s="70">
        <v>602</v>
      </c>
      <c r="CX125" s="70">
        <v>575</v>
      </c>
      <c r="CY125" s="70">
        <v>699</v>
      </c>
      <c r="CZ125" s="70">
        <v>584</v>
      </c>
      <c r="DA125" s="70">
        <v>600</v>
      </c>
      <c r="DB125" s="70">
        <v>560</v>
      </c>
      <c r="DC125" s="70">
        <v>553</v>
      </c>
      <c r="DD125" s="70">
        <v>521</v>
      </c>
      <c r="DE125" s="70">
        <v>554</v>
      </c>
      <c r="DF125" s="70">
        <v>667</v>
      </c>
      <c r="DG125" s="70">
        <v>700</v>
      </c>
      <c r="DH125" s="70">
        <v>837</v>
      </c>
      <c r="DI125" s="70">
        <v>738</v>
      </c>
      <c r="DJ125" s="70">
        <v>637</v>
      </c>
      <c r="DK125" s="70">
        <v>686</v>
      </c>
      <c r="DL125" s="46">
        <v>635</v>
      </c>
      <c r="DM125" s="46">
        <v>633</v>
      </c>
      <c r="DN125" s="46">
        <v>641</v>
      </c>
      <c r="DO125" s="46">
        <v>588</v>
      </c>
      <c r="DP125" s="46">
        <v>578</v>
      </c>
      <c r="DQ125" s="46">
        <v>529</v>
      </c>
      <c r="DR125" s="46">
        <v>643</v>
      </c>
      <c r="DS125" s="46">
        <v>594</v>
      </c>
      <c r="DT125" s="46">
        <v>727</v>
      </c>
      <c r="DU125" s="46">
        <v>681</v>
      </c>
      <c r="DV125" s="46">
        <v>744</v>
      </c>
      <c r="DW125" s="46">
        <v>709</v>
      </c>
      <c r="DX125" s="46">
        <v>684</v>
      </c>
      <c r="DY125" s="46">
        <v>684</v>
      </c>
      <c r="DZ125" s="46">
        <v>601</v>
      </c>
      <c r="EA125" s="46">
        <v>627</v>
      </c>
      <c r="EB125" s="46">
        <v>632</v>
      </c>
      <c r="EC125" s="46">
        <v>579</v>
      </c>
      <c r="ED125" s="46">
        <v>734</v>
      </c>
      <c r="EE125" s="46">
        <v>787</v>
      </c>
      <c r="EF125" s="46">
        <v>777</v>
      </c>
      <c r="EG125" s="46">
        <v>705</v>
      </c>
      <c r="EH125" s="46">
        <v>704</v>
      </c>
      <c r="EI125" s="46">
        <v>809</v>
      </c>
      <c r="EJ125" s="46">
        <v>770</v>
      </c>
      <c r="EK125" s="46">
        <v>651</v>
      </c>
      <c r="EL125" s="46">
        <v>647</v>
      </c>
      <c r="EM125" s="46">
        <v>657</v>
      </c>
      <c r="EN125" s="46">
        <v>572</v>
      </c>
      <c r="EO125" s="46">
        <v>647</v>
      </c>
      <c r="EP125" s="46">
        <v>732</v>
      </c>
      <c r="EQ125" s="46">
        <v>744</v>
      </c>
      <c r="ER125" s="46">
        <v>819</v>
      </c>
      <c r="ES125" s="46">
        <v>691</v>
      </c>
      <c r="ET125" s="46">
        <v>2218</v>
      </c>
      <c r="EU125" s="46">
        <v>2068</v>
      </c>
      <c r="EV125" s="46">
        <v>1876</v>
      </c>
      <c r="EW125" s="46">
        <v>2295</v>
      </c>
      <c r="EX125" s="71">
        <v>2208.082777077117</v>
      </c>
      <c r="EY125" s="71">
        <v>2232.1111076932539</v>
      </c>
      <c r="EZ125" s="71">
        <v>2256.1394383093912</v>
      </c>
      <c r="FA125" s="71">
        <v>2280.1677689255284</v>
      </c>
      <c r="FB125" s="71">
        <v>2304.1960995416653</v>
      </c>
      <c r="FC125" s="71">
        <v>2328.2244301578025</v>
      </c>
      <c r="FD125" s="71">
        <v>2352.2527607739394</v>
      </c>
      <c r="FE125" s="71">
        <v>2376.2810913900767</v>
      </c>
      <c r="FF125" s="72">
        <v>283253</v>
      </c>
      <c r="FG125" s="72">
        <v>283897</v>
      </c>
      <c r="FH125" s="476">
        <v>285032</v>
      </c>
      <c r="FI125" s="476">
        <v>286080.685</v>
      </c>
      <c r="FJ125" s="476">
        <v>287357.27899999998</v>
      </c>
      <c r="FK125" s="476">
        <v>288696.53399999999</v>
      </c>
    </row>
    <row r="126" spans="1:167">
      <c r="A126" s="73" t="s">
        <v>935</v>
      </c>
      <c r="B126" s="19" t="s">
        <v>936</v>
      </c>
      <c r="C126" s="74" t="s">
        <v>771</v>
      </c>
      <c r="D126" s="75" t="s">
        <v>429</v>
      </c>
      <c r="E126" s="76">
        <v>295</v>
      </c>
      <c r="F126" s="77">
        <v>270</v>
      </c>
      <c r="G126" s="410">
        <v>285</v>
      </c>
      <c r="H126" s="78">
        <v>30200</v>
      </c>
      <c r="I126" s="77">
        <v>31395</v>
      </c>
      <c r="J126" s="410">
        <v>32343</v>
      </c>
      <c r="K126" s="410">
        <v>33124.792999999991</v>
      </c>
      <c r="L126" s="418">
        <v>33924.955999999998</v>
      </c>
      <c r="M126" s="79">
        <v>976.8</v>
      </c>
      <c r="N126" s="80">
        <v>856.8</v>
      </c>
      <c r="O126" s="421">
        <v>907.8</v>
      </c>
      <c r="P126" s="71">
        <v>255</v>
      </c>
      <c r="Q126" s="75" t="s">
        <v>429</v>
      </c>
      <c r="R126" s="81">
        <v>70</v>
      </c>
      <c r="S126" s="77">
        <v>85</v>
      </c>
      <c r="T126" s="452">
        <v>60</v>
      </c>
      <c r="U126" s="77">
        <v>85</v>
      </c>
      <c r="V126" s="77">
        <v>110</v>
      </c>
      <c r="W126" s="452">
        <v>70</v>
      </c>
      <c r="X126" s="82">
        <v>78.2</v>
      </c>
      <c r="Y126" s="83">
        <v>79.099999999999994</v>
      </c>
      <c r="Z126" s="443">
        <v>85.3</v>
      </c>
      <c r="AA126" s="63">
        <v>93</v>
      </c>
      <c r="AB126" s="63">
        <v>110</v>
      </c>
      <c r="AC126" s="19" t="s">
        <v>429</v>
      </c>
      <c r="AD126" s="84">
        <v>62</v>
      </c>
      <c r="AE126" s="85">
        <v>84</v>
      </c>
      <c r="AF126" s="85">
        <v>190</v>
      </c>
      <c r="AG126" s="85">
        <v>324</v>
      </c>
      <c r="AH126" s="85">
        <v>161</v>
      </c>
      <c r="AI126" s="85">
        <v>176</v>
      </c>
      <c r="AJ126" s="85">
        <v>220</v>
      </c>
      <c r="AK126" s="85">
        <v>194</v>
      </c>
      <c r="AL126" s="96">
        <v>175</v>
      </c>
      <c r="AM126" s="96">
        <v>125</v>
      </c>
      <c r="AN126" s="96">
        <v>126</v>
      </c>
      <c r="AO126" s="96">
        <v>179</v>
      </c>
      <c r="AP126" s="96">
        <v>279</v>
      </c>
      <c r="AQ126" s="96">
        <v>262</v>
      </c>
      <c r="AR126" s="96">
        <v>295</v>
      </c>
      <c r="AS126" s="96">
        <v>354</v>
      </c>
      <c r="AT126" s="96">
        <v>301</v>
      </c>
      <c r="AU126" s="96">
        <v>387</v>
      </c>
      <c r="AV126" s="96">
        <v>350</v>
      </c>
      <c r="AW126" s="96">
        <v>305</v>
      </c>
      <c r="AX126" s="97">
        <v>178</v>
      </c>
      <c r="AY126" s="97">
        <v>213</v>
      </c>
      <c r="AZ126" s="97">
        <v>180</v>
      </c>
      <c r="BA126" s="97">
        <v>195</v>
      </c>
      <c r="BB126" s="97">
        <v>200</v>
      </c>
      <c r="BC126" s="97">
        <v>149</v>
      </c>
      <c r="BD126" s="87">
        <v>117</v>
      </c>
      <c r="BE126" s="87">
        <v>155</v>
      </c>
      <c r="BF126" s="87">
        <v>120</v>
      </c>
      <c r="BG126" s="87">
        <v>179</v>
      </c>
      <c r="BH126" s="87">
        <v>79</v>
      </c>
      <c r="BI126" s="87">
        <v>136</v>
      </c>
      <c r="BJ126" s="87">
        <v>113</v>
      </c>
      <c r="BK126" s="87">
        <v>151</v>
      </c>
      <c r="BL126" s="87">
        <v>92</v>
      </c>
      <c r="BM126" s="87">
        <v>130</v>
      </c>
      <c r="BN126" s="87">
        <v>195</v>
      </c>
      <c r="BO126" s="87">
        <v>120</v>
      </c>
      <c r="BP126" s="87">
        <v>114</v>
      </c>
      <c r="BQ126" s="87">
        <v>144</v>
      </c>
      <c r="BR126" s="96">
        <v>175</v>
      </c>
      <c r="BS126" s="96">
        <v>225</v>
      </c>
      <c r="BT126" s="96">
        <v>200</v>
      </c>
      <c r="BU126" s="96">
        <v>166</v>
      </c>
      <c r="BV126" s="67">
        <v>356</v>
      </c>
      <c r="BW126" s="67">
        <v>445</v>
      </c>
      <c r="BX126" s="67">
        <v>433</v>
      </c>
      <c r="BY126" s="67">
        <v>591</v>
      </c>
      <c r="BZ126" s="68">
        <v>464.6251585623678</v>
      </c>
      <c r="CA126" s="68">
        <v>451.91289640591964</v>
      </c>
      <c r="CB126" s="68">
        <v>439.20063424947136</v>
      </c>
      <c r="CC126" s="68">
        <v>426.48837209302314</v>
      </c>
      <c r="CD126" s="68">
        <v>413.77610993657498</v>
      </c>
      <c r="CE126" s="68">
        <v>401.06384778012682</v>
      </c>
      <c r="CF126" s="68">
        <v>388.3515856236786</v>
      </c>
      <c r="CG126" s="68">
        <v>375.63932346723038</v>
      </c>
      <c r="CH126" s="87">
        <v>150300</v>
      </c>
      <c r="CI126" s="467">
        <v>150920</v>
      </c>
      <c r="CJ126" s="467">
        <v>151971.09300000002</v>
      </c>
      <c r="CK126" s="467">
        <v>152926.16499999995</v>
      </c>
      <c r="CL126" s="468">
        <v>153768.78600000002</v>
      </c>
      <c r="CM126" s="19" t="s">
        <v>429</v>
      </c>
      <c r="CN126" s="70">
        <v>426</v>
      </c>
      <c r="CO126" s="70">
        <v>424</v>
      </c>
      <c r="CP126" s="70">
        <v>437</v>
      </c>
      <c r="CQ126" s="70">
        <v>420</v>
      </c>
      <c r="CR126" s="70">
        <v>354</v>
      </c>
      <c r="CS126" s="70">
        <v>399</v>
      </c>
      <c r="CT126" s="70">
        <v>492</v>
      </c>
      <c r="CU126" s="70">
        <v>468</v>
      </c>
      <c r="CV126" s="70">
        <v>529</v>
      </c>
      <c r="CW126" s="70">
        <v>494</v>
      </c>
      <c r="CX126" s="70">
        <v>452</v>
      </c>
      <c r="CY126" s="70">
        <v>459</v>
      </c>
      <c r="CZ126" s="70">
        <v>444</v>
      </c>
      <c r="DA126" s="70">
        <v>452</v>
      </c>
      <c r="DB126" s="70">
        <v>394</v>
      </c>
      <c r="DC126" s="70">
        <v>383</v>
      </c>
      <c r="DD126" s="70">
        <v>343</v>
      </c>
      <c r="DE126" s="70">
        <v>417</v>
      </c>
      <c r="DF126" s="70">
        <v>496</v>
      </c>
      <c r="DG126" s="70">
        <v>511</v>
      </c>
      <c r="DH126" s="70">
        <v>575</v>
      </c>
      <c r="DI126" s="70">
        <v>544</v>
      </c>
      <c r="DJ126" s="70">
        <v>508</v>
      </c>
      <c r="DK126" s="70">
        <v>480</v>
      </c>
      <c r="DL126" s="46">
        <v>372</v>
      </c>
      <c r="DM126" s="46">
        <v>402</v>
      </c>
      <c r="DN126" s="46">
        <v>334</v>
      </c>
      <c r="DO126" s="46">
        <v>370</v>
      </c>
      <c r="DP126" s="46">
        <v>353</v>
      </c>
      <c r="DQ126" s="46">
        <v>347</v>
      </c>
      <c r="DR126" s="46">
        <v>341</v>
      </c>
      <c r="DS126" s="46">
        <v>388</v>
      </c>
      <c r="DT126" s="46">
        <v>418</v>
      </c>
      <c r="DU126" s="46">
        <v>377</v>
      </c>
      <c r="DV126" s="46">
        <v>381</v>
      </c>
      <c r="DW126" s="46">
        <v>395</v>
      </c>
      <c r="DX126" s="46">
        <v>386</v>
      </c>
      <c r="DY126" s="46">
        <v>379</v>
      </c>
      <c r="DZ126" s="46">
        <v>349</v>
      </c>
      <c r="EA126" s="46">
        <v>366</v>
      </c>
      <c r="EB126" s="46">
        <v>371</v>
      </c>
      <c r="EC126" s="46">
        <v>335</v>
      </c>
      <c r="ED126" s="46">
        <v>371</v>
      </c>
      <c r="EE126" s="46">
        <v>416</v>
      </c>
      <c r="EF126" s="46">
        <v>472</v>
      </c>
      <c r="EG126" s="46">
        <v>405</v>
      </c>
      <c r="EH126" s="46">
        <v>351</v>
      </c>
      <c r="EI126" s="46">
        <v>440</v>
      </c>
      <c r="EJ126" s="46">
        <v>446</v>
      </c>
      <c r="EK126" s="46">
        <v>449</v>
      </c>
      <c r="EL126" s="46">
        <v>348</v>
      </c>
      <c r="EM126" s="46">
        <v>349</v>
      </c>
      <c r="EN126" s="46">
        <v>362</v>
      </c>
      <c r="EO126" s="46">
        <v>341</v>
      </c>
      <c r="EP126" s="46">
        <v>419</v>
      </c>
      <c r="EQ126" s="46">
        <v>398</v>
      </c>
      <c r="ER126" s="46">
        <v>453</v>
      </c>
      <c r="ES126" s="46">
        <v>437</v>
      </c>
      <c r="ET126" s="46">
        <v>1196</v>
      </c>
      <c r="EU126" s="46">
        <v>1243</v>
      </c>
      <c r="EV126" s="46">
        <v>1052</v>
      </c>
      <c r="EW126" s="46">
        <v>1270</v>
      </c>
      <c r="EX126" s="71">
        <v>1126.7852902273216</v>
      </c>
      <c r="EY126" s="71">
        <v>1116.1023408902149</v>
      </c>
      <c r="EZ126" s="71">
        <v>1105.4193915531082</v>
      </c>
      <c r="FA126" s="71">
        <v>1094.7364422160017</v>
      </c>
      <c r="FB126" s="71">
        <v>1084.053492878895</v>
      </c>
      <c r="FC126" s="71">
        <v>1073.3705435417883</v>
      </c>
      <c r="FD126" s="71">
        <v>1062.6875942046818</v>
      </c>
      <c r="FE126" s="71">
        <v>1052.0046448675753</v>
      </c>
      <c r="FF126" s="72">
        <v>191824</v>
      </c>
      <c r="FG126" s="72">
        <v>192406</v>
      </c>
      <c r="FH126" s="476">
        <v>193196</v>
      </c>
      <c r="FI126" s="476">
        <v>194500.163</v>
      </c>
      <c r="FJ126" s="476">
        <v>195665.19</v>
      </c>
      <c r="FK126" s="476">
        <v>196855.323</v>
      </c>
    </row>
    <row r="127" spans="1:167">
      <c r="A127" s="73" t="s">
        <v>954</v>
      </c>
      <c r="B127" s="19" t="s">
        <v>955</v>
      </c>
      <c r="C127" s="74" t="s">
        <v>772</v>
      </c>
      <c r="D127" s="75" t="s">
        <v>432</v>
      </c>
      <c r="E127" s="76">
        <v>340</v>
      </c>
      <c r="F127" s="77">
        <v>360</v>
      </c>
      <c r="G127" s="410">
        <v>410</v>
      </c>
      <c r="H127" s="78">
        <v>39005</v>
      </c>
      <c r="I127" s="77">
        <v>40175</v>
      </c>
      <c r="J127" s="410">
        <v>40894</v>
      </c>
      <c r="K127" s="410">
        <v>41632.435000000005</v>
      </c>
      <c r="L127" s="418">
        <v>42329.671999999999</v>
      </c>
      <c r="M127" s="79">
        <v>876.9</v>
      </c>
      <c r="N127" s="80">
        <v>891.1</v>
      </c>
      <c r="O127" s="421">
        <v>1020.5</v>
      </c>
      <c r="P127" s="71">
        <v>474</v>
      </c>
      <c r="Q127" s="75" t="s">
        <v>432</v>
      </c>
      <c r="R127" s="81">
        <v>135</v>
      </c>
      <c r="S127" s="77">
        <v>80</v>
      </c>
      <c r="T127" s="452">
        <v>75</v>
      </c>
      <c r="U127" s="77">
        <v>170</v>
      </c>
      <c r="V127" s="77">
        <v>100</v>
      </c>
      <c r="W127" s="452">
        <v>85</v>
      </c>
      <c r="X127" s="82">
        <v>80</v>
      </c>
      <c r="Y127" s="83">
        <v>80.2</v>
      </c>
      <c r="Z127" s="443">
        <v>85.1</v>
      </c>
      <c r="AA127" s="63">
        <v>81</v>
      </c>
      <c r="AB127" s="63">
        <v>101</v>
      </c>
      <c r="AC127" s="19" t="s">
        <v>432</v>
      </c>
      <c r="AD127" s="84">
        <v>1236</v>
      </c>
      <c r="AE127" s="85">
        <v>1287</v>
      </c>
      <c r="AF127" s="85">
        <v>1188</v>
      </c>
      <c r="AG127" s="85">
        <v>861</v>
      </c>
      <c r="AH127" s="85">
        <v>586</v>
      </c>
      <c r="AI127" s="85">
        <v>557</v>
      </c>
      <c r="AJ127" s="85">
        <v>440</v>
      </c>
      <c r="AK127" s="85">
        <v>635</v>
      </c>
      <c r="AL127" s="96">
        <v>605</v>
      </c>
      <c r="AM127" s="96">
        <v>717</v>
      </c>
      <c r="AN127" s="96">
        <v>833</v>
      </c>
      <c r="AO127" s="96">
        <v>946</v>
      </c>
      <c r="AP127" s="96">
        <v>977</v>
      </c>
      <c r="AQ127" s="96">
        <v>1084</v>
      </c>
      <c r="AR127" s="96">
        <v>877</v>
      </c>
      <c r="AS127" s="96">
        <v>631</v>
      </c>
      <c r="AT127" s="96">
        <v>584</v>
      </c>
      <c r="AU127" s="96">
        <v>506</v>
      </c>
      <c r="AV127" s="96">
        <v>565</v>
      </c>
      <c r="AW127" s="96">
        <v>375</v>
      </c>
      <c r="AX127" s="97">
        <v>501</v>
      </c>
      <c r="AY127" s="97">
        <v>465</v>
      </c>
      <c r="AZ127" s="97">
        <v>321</v>
      </c>
      <c r="BA127" s="97">
        <v>406</v>
      </c>
      <c r="BB127" s="97">
        <v>468</v>
      </c>
      <c r="BC127" s="97">
        <v>627</v>
      </c>
      <c r="BD127" s="87">
        <v>621</v>
      </c>
      <c r="BE127" s="87">
        <v>461</v>
      </c>
      <c r="BF127" s="87">
        <v>331</v>
      </c>
      <c r="BG127" s="87">
        <v>553</v>
      </c>
      <c r="BH127" s="87">
        <v>311</v>
      </c>
      <c r="BI127" s="87">
        <v>578</v>
      </c>
      <c r="BJ127" s="87">
        <v>599</v>
      </c>
      <c r="BK127" s="87">
        <v>622</v>
      </c>
      <c r="BL127" s="87">
        <v>572</v>
      </c>
      <c r="BM127" s="87">
        <v>572</v>
      </c>
      <c r="BN127" s="87">
        <v>786</v>
      </c>
      <c r="BO127" s="87">
        <v>673</v>
      </c>
      <c r="BP127" s="87">
        <v>516</v>
      </c>
      <c r="BQ127" s="87">
        <v>428</v>
      </c>
      <c r="BR127" s="96">
        <v>440</v>
      </c>
      <c r="BS127" s="96">
        <v>527</v>
      </c>
      <c r="BT127" s="96">
        <v>399</v>
      </c>
      <c r="BU127" s="96">
        <v>458</v>
      </c>
      <c r="BV127" s="67">
        <v>1793</v>
      </c>
      <c r="BW127" s="67">
        <v>2031</v>
      </c>
      <c r="BX127" s="67">
        <v>1384</v>
      </c>
      <c r="BY127" s="67">
        <v>1384</v>
      </c>
      <c r="BZ127" s="68">
        <v>1132.7515856236787</v>
      </c>
      <c r="CA127" s="68">
        <v>1036.0380549682873</v>
      </c>
      <c r="CB127" s="68">
        <v>939.3245243128963</v>
      </c>
      <c r="CC127" s="68">
        <v>842.61099365750522</v>
      </c>
      <c r="CD127" s="68">
        <v>745.89746300211414</v>
      </c>
      <c r="CE127" s="68">
        <v>649.18393234672305</v>
      </c>
      <c r="CF127" s="68">
        <v>552.47040169133197</v>
      </c>
      <c r="CG127" s="68">
        <v>455.75687103594089</v>
      </c>
      <c r="CH127" s="87">
        <v>195100</v>
      </c>
      <c r="CI127" s="467">
        <v>195150</v>
      </c>
      <c r="CJ127" s="467">
        <v>195918.22499999998</v>
      </c>
      <c r="CK127" s="467">
        <v>196553.18900000007</v>
      </c>
      <c r="CL127" s="468">
        <v>197069.92300000004</v>
      </c>
      <c r="CM127" s="19" t="s">
        <v>432</v>
      </c>
      <c r="CN127" s="70">
        <v>535</v>
      </c>
      <c r="CO127" s="70">
        <v>616</v>
      </c>
      <c r="CP127" s="70">
        <v>612</v>
      </c>
      <c r="CQ127" s="70">
        <v>636</v>
      </c>
      <c r="CR127" s="70">
        <v>474</v>
      </c>
      <c r="CS127" s="70">
        <v>567</v>
      </c>
      <c r="CT127" s="70">
        <v>713</v>
      </c>
      <c r="CU127" s="70">
        <v>681</v>
      </c>
      <c r="CV127" s="70">
        <v>768</v>
      </c>
      <c r="CW127" s="70">
        <v>583</v>
      </c>
      <c r="CX127" s="70">
        <v>562</v>
      </c>
      <c r="CY127" s="70">
        <v>661</v>
      </c>
      <c r="CZ127" s="70">
        <v>573</v>
      </c>
      <c r="DA127" s="70">
        <v>612</v>
      </c>
      <c r="DB127" s="70">
        <v>528</v>
      </c>
      <c r="DC127" s="70">
        <v>602</v>
      </c>
      <c r="DD127" s="70">
        <v>550</v>
      </c>
      <c r="DE127" s="70">
        <v>584</v>
      </c>
      <c r="DF127" s="70">
        <v>542</v>
      </c>
      <c r="DG127" s="70">
        <v>627</v>
      </c>
      <c r="DH127" s="70">
        <v>913</v>
      </c>
      <c r="DI127" s="70">
        <v>726</v>
      </c>
      <c r="DJ127" s="70">
        <v>602</v>
      </c>
      <c r="DK127" s="70">
        <v>737</v>
      </c>
      <c r="DL127" s="46">
        <v>613</v>
      </c>
      <c r="DM127" s="46">
        <v>520</v>
      </c>
      <c r="DN127" s="46">
        <v>505</v>
      </c>
      <c r="DO127" s="46">
        <v>548</v>
      </c>
      <c r="DP127" s="46">
        <v>491</v>
      </c>
      <c r="DQ127" s="46">
        <v>534</v>
      </c>
      <c r="DR127" s="46">
        <v>524</v>
      </c>
      <c r="DS127" s="46">
        <v>619</v>
      </c>
      <c r="DT127" s="46">
        <v>778</v>
      </c>
      <c r="DU127" s="46">
        <v>749</v>
      </c>
      <c r="DV127" s="46">
        <v>702</v>
      </c>
      <c r="DW127" s="46">
        <v>795</v>
      </c>
      <c r="DX127" s="46">
        <v>663</v>
      </c>
      <c r="DY127" s="46">
        <v>732</v>
      </c>
      <c r="DZ127" s="46">
        <v>572</v>
      </c>
      <c r="EA127" s="46">
        <v>675</v>
      </c>
      <c r="EB127" s="46">
        <v>584</v>
      </c>
      <c r="EC127" s="46">
        <v>571</v>
      </c>
      <c r="ED127" s="46">
        <v>662</v>
      </c>
      <c r="EE127" s="46">
        <v>748</v>
      </c>
      <c r="EF127" s="46">
        <v>829</v>
      </c>
      <c r="EG127" s="46">
        <v>638</v>
      </c>
      <c r="EH127" s="46">
        <v>642</v>
      </c>
      <c r="EI127" s="46">
        <v>748</v>
      </c>
      <c r="EJ127" s="46">
        <v>697</v>
      </c>
      <c r="EK127" s="46">
        <v>665</v>
      </c>
      <c r="EL127" s="46">
        <v>614</v>
      </c>
      <c r="EM127" s="46">
        <v>595</v>
      </c>
      <c r="EN127" s="46">
        <v>555</v>
      </c>
      <c r="EO127" s="46">
        <v>576</v>
      </c>
      <c r="EP127" s="46">
        <v>658</v>
      </c>
      <c r="EQ127" s="46">
        <v>710</v>
      </c>
      <c r="ER127" s="46">
        <v>916</v>
      </c>
      <c r="ES127" s="46">
        <v>686</v>
      </c>
      <c r="ET127" s="46">
        <v>2028</v>
      </c>
      <c r="EU127" s="46">
        <v>1976</v>
      </c>
      <c r="EV127" s="46">
        <v>1726</v>
      </c>
      <c r="EW127" s="46">
        <v>2284</v>
      </c>
      <c r="EX127" s="71">
        <v>2084.6229351871789</v>
      </c>
      <c r="EY127" s="71">
        <v>2099.828447506844</v>
      </c>
      <c r="EZ127" s="71">
        <v>2115.0339598265095</v>
      </c>
      <c r="FA127" s="71">
        <v>2130.2394721461751</v>
      </c>
      <c r="FB127" s="71">
        <v>2145.4449844658402</v>
      </c>
      <c r="FC127" s="71">
        <v>2160.6504967855053</v>
      </c>
      <c r="FD127" s="71">
        <v>2175.8560091051709</v>
      </c>
      <c r="FE127" s="71">
        <v>2191.0615214248364</v>
      </c>
      <c r="FF127" s="72">
        <v>248719</v>
      </c>
      <c r="FG127" s="72">
        <v>249903</v>
      </c>
      <c r="FH127" s="476">
        <v>250227</v>
      </c>
      <c r="FI127" s="476">
        <v>251232.06299999999</v>
      </c>
      <c r="FJ127" s="476">
        <v>252014.46100000001</v>
      </c>
      <c r="FK127" s="476">
        <v>252852.42300000001</v>
      </c>
    </row>
    <row r="128" spans="1:167">
      <c r="A128" s="73" t="s">
        <v>928</v>
      </c>
      <c r="B128" s="19" t="s">
        <v>929</v>
      </c>
      <c r="C128" s="74" t="s">
        <v>773</v>
      </c>
      <c r="D128" s="75" t="s">
        <v>435</v>
      </c>
      <c r="E128" s="76">
        <v>1110</v>
      </c>
      <c r="F128" s="77">
        <v>1220</v>
      </c>
      <c r="G128" s="410">
        <v>995</v>
      </c>
      <c r="H128" s="78">
        <v>146340</v>
      </c>
      <c r="I128" s="77">
        <v>153000</v>
      </c>
      <c r="J128" s="410">
        <v>158046</v>
      </c>
      <c r="K128" s="410">
        <v>162516.67199999993</v>
      </c>
      <c r="L128" s="418">
        <v>166650.26300000001</v>
      </c>
      <c r="M128" s="79">
        <v>759.2</v>
      </c>
      <c r="N128" s="80">
        <v>797.4</v>
      </c>
      <c r="O128" s="421">
        <v>649</v>
      </c>
      <c r="P128" s="71">
        <v>1222</v>
      </c>
      <c r="Q128" s="75" t="s">
        <v>435</v>
      </c>
      <c r="R128" s="81">
        <v>145</v>
      </c>
      <c r="S128" s="77">
        <v>155</v>
      </c>
      <c r="T128" s="452">
        <v>465</v>
      </c>
      <c r="U128" s="77">
        <v>220</v>
      </c>
      <c r="V128" s="77">
        <v>250</v>
      </c>
      <c r="W128" s="452">
        <v>630</v>
      </c>
      <c r="X128" s="82">
        <v>66.2</v>
      </c>
      <c r="Y128" s="83">
        <v>62.9</v>
      </c>
      <c r="Z128" s="443">
        <v>73.7</v>
      </c>
      <c r="AA128" s="63">
        <v>0</v>
      </c>
      <c r="AB128" s="63">
        <v>0</v>
      </c>
      <c r="AC128" s="19" t="s">
        <v>435</v>
      </c>
      <c r="AD128" s="84">
        <v>1247</v>
      </c>
      <c r="AE128" s="85">
        <v>957</v>
      </c>
      <c r="AF128" s="85">
        <v>906</v>
      </c>
      <c r="AG128" s="85">
        <v>1082</v>
      </c>
      <c r="AH128" s="85">
        <v>946</v>
      </c>
      <c r="AI128" s="85">
        <v>1269</v>
      </c>
      <c r="AJ128" s="85">
        <v>1276</v>
      </c>
      <c r="AK128" s="85">
        <v>1106</v>
      </c>
      <c r="AL128" s="96">
        <v>880</v>
      </c>
      <c r="AM128" s="96">
        <v>1106</v>
      </c>
      <c r="AN128" s="96">
        <v>1293</v>
      </c>
      <c r="AO128" s="96">
        <v>1162</v>
      </c>
      <c r="AP128" s="96">
        <v>1344</v>
      </c>
      <c r="AQ128" s="96">
        <v>1485</v>
      </c>
      <c r="AR128" s="96">
        <v>1093</v>
      </c>
      <c r="AS128" s="96">
        <v>991</v>
      </c>
      <c r="AT128" s="96">
        <v>1042</v>
      </c>
      <c r="AU128" s="96">
        <v>1227</v>
      </c>
      <c r="AV128" s="96">
        <v>1268</v>
      </c>
      <c r="AW128" s="96">
        <v>1289</v>
      </c>
      <c r="AX128" s="97">
        <v>1154</v>
      </c>
      <c r="AY128" s="97">
        <v>1235</v>
      </c>
      <c r="AZ128" s="97">
        <v>1257</v>
      </c>
      <c r="BA128" s="97">
        <v>1576</v>
      </c>
      <c r="BB128" s="97">
        <v>1806</v>
      </c>
      <c r="BC128" s="97">
        <v>1750</v>
      </c>
      <c r="BD128" s="87">
        <v>1492</v>
      </c>
      <c r="BE128" s="87">
        <v>1869</v>
      </c>
      <c r="BF128" s="87">
        <v>1463</v>
      </c>
      <c r="BG128" s="87">
        <v>1679</v>
      </c>
      <c r="BH128" s="87">
        <v>1296</v>
      </c>
      <c r="BI128" s="87">
        <v>1429</v>
      </c>
      <c r="BJ128" s="87">
        <v>1396</v>
      </c>
      <c r="BK128" s="87">
        <v>1904</v>
      </c>
      <c r="BL128" s="87">
        <v>1610</v>
      </c>
      <c r="BM128" s="87">
        <v>1581</v>
      </c>
      <c r="BN128" s="87">
        <v>1591</v>
      </c>
      <c r="BO128" s="87">
        <v>1777</v>
      </c>
      <c r="BP128" s="87">
        <v>2269</v>
      </c>
      <c r="BQ128" s="87">
        <v>1798</v>
      </c>
      <c r="BR128" s="96">
        <v>1618</v>
      </c>
      <c r="BS128" s="96">
        <v>1711</v>
      </c>
      <c r="BT128" s="96">
        <v>1392</v>
      </c>
      <c r="BU128" s="96">
        <v>1591</v>
      </c>
      <c r="BV128" s="67">
        <v>4910</v>
      </c>
      <c r="BW128" s="67">
        <v>4949</v>
      </c>
      <c r="BX128" s="67">
        <v>5685</v>
      </c>
      <c r="BY128" s="67">
        <v>4694</v>
      </c>
      <c r="BZ128" s="68">
        <v>5459.5107822410155</v>
      </c>
      <c r="CA128" s="68">
        <v>5623.6678646934461</v>
      </c>
      <c r="CB128" s="68">
        <v>5787.8249471458766</v>
      </c>
      <c r="CC128" s="68">
        <v>5951.9820295983091</v>
      </c>
      <c r="CD128" s="68">
        <v>6116.1391120507396</v>
      </c>
      <c r="CE128" s="68">
        <v>6280.2961945031711</v>
      </c>
      <c r="CF128" s="68">
        <v>6444.4532769556026</v>
      </c>
      <c r="CG128" s="68">
        <v>6608.6103594080341</v>
      </c>
      <c r="CH128" s="87">
        <v>581000</v>
      </c>
      <c r="CI128" s="467">
        <v>584752</v>
      </c>
      <c r="CJ128" s="467">
        <v>587653.96099999954</v>
      </c>
      <c r="CK128" s="467">
        <v>591525.48599999945</v>
      </c>
      <c r="CL128" s="468">
        <v>595064.14700000023</v>
      </c>
      <c r="CM128" s="19" t="s">
        <v>435</v>
      </c>
      <c r="CN128" s="70">
        <v>1129</v>
      </c>
      <c r="CO128" s="70">
        <v>1005</v>
      </c>
      <c r="CP128" s="70">
        <v>1039</v>
      </c>
      <c r="CQ128" s="70">
        <v>957</v>
      </c>
      <c r="CR128" s="70">
        <v>971</v>
      </c>
      <c r="CS128" s="70">
        <v>1006</v>
      </c>
      <c r="CT128" s="70">
        <v>1179</v>
      </c>
      <c r="CU128" s="70">
        <v>1191</v>
      </c>
      <c r="CV128" s="70">
        <v>1329</v>
      </c>
      <c r="CW128" s="70">
        <v>1244</v>
      </c>
      <c r="CX128" s="70">
        <v>1151</v>
      </c>
      <c r="CY128" s="70">
        <v>1175</v>
      </c>
      <c r="CZ128" s="70">
        <v>1197</v>
      </c>
      <c r="DA128" s="70">
        <v>1147</v>
      </c>
      <c r="DB128" s="70">
        <v>1012</v>
      </c>
      <c r="DC128" s="70">
        <v>982</v>
      </c>
      <c r="DD128" s="70">
        <v>950</v>
      </c>
      <c r="DE128" s="70">
        <v>1036</v>
      </c>
      <c r="DF128" s="70">
        <v>1072</v>
      </c>
      <c r="DG128" s="70">
        <v>1174</v>
      </c>
      <c r="DH128" s="70">
        <v>1502</v>
      </c>
      <c r="DI128" s="70">
        <v>1383</v>
      </c>
      <c r="DJ128" s="70">
        <v>1100</v>
      </c>
      <c r="DK128" s="70">
        <v>1167</v>
      </c>
      <c r="DL128" s="46">
        <v>1083</v>
      </c>
      <c r="DM128" s="46">
        <v>1048</v>
      </c>
      <c r="DN128" s="46">
        <v>1031</v>
      </c>
      <c r="DO128" s="46">
        <v>1022</v>
      </c>
      <c r="DP128" s="46">
        <v>955</v>
      </c>
      <c r="DQ128" s="46">
        <v>970</v>
      </c>
      <c r="DR128" s="46">
        <v>1069</v>
      </c>
      <c r="DS128" s="46">
        <v>1128</v>
      </c>
      <c r="DT128" s="46">
        <v>1431</v>
      </c>
      <c r="DU128" s="46">
        <v>1284</v>
      </c>
      <c r="DV128" s="46">
        <v>1154</v>
      </c>
      <c r="DW128" s="46">
        <v>1185</v>
      </c>
      <c r="DX128" s="46">
        <v>1270</v>
      </c>
      <c r="DY128" s="46">
        <v>1185</v>
      </c>
      <c r="DZ128" s="46">
        <v>1101</v>
      </c>
      <c r="EA128" s="46">
        <v>1161</v>
      </c>
      <c r="EB128" s="46">
        <v>1079</v>
      </c>
      <c r="EC128" s="46">
        <v>1047</v>
      </c>
      <c r="ED128" s="46">
        <v>1234</v>
      </c>
      <c r="EE128" s="46">
        <v>1296</v>
      </c>
      <c r="EF128" s="46">
        <v>1549</v>
      </c>
      <c r="EG128" s="46">
        <v>1356</v>
      </c>
      <c r="EH128" s="46">
        <v>1149</v>
      </c>
      <c r="EI128" s="46">
        <v>1359</v>
      </c>
      <c r="EJ128" s="46">
        <v>1371</v>
      </c>
      <c r="EK128" s="46">
        <v>1270</v>
      </c>
      <c r="EL128" s="46">
        <v>1130</v>
      </c>
      <c r="EM128" s="46">
        <v>1180</v>
      </c>
      <c r="EN128" s="46">
        <v>1082</v>
      </c>
      <c r="EO128" s="46">
        <v>1097</v>
      </c>
      <c r="EP128" s="46">
        <v>1268</v>
      </c>
      <c r="EQ128" s="46">
        <v>1201</v>
      </c>
      <c r="ER128" s="46">
        <v>1567</v>
      </c>
      <c r="ES128" s="46">
        <v>1139</v>
      </c>
      <c r="ET128" s="46">
        <v>3864</v>
      </c>
      <c r="EU128" s="46">
        <v>3771</v>
      </c>
      <c r="EV128" s="46">
        <v>3359</v>
      </c>
      <c r="EW128" s="46">
        <v>4036</v>
      </c>
      <c r="EX128" s="71">
        <v>3818.0310375588306</v>
      </c>
      <c r="EY128" s="71">
        <v>3847.9495524316344</v>
      </c>
      <c r="EZ128" s="71">
        <v>3877.8680673044391</v>
      </c>
      <c r="FA128" s="71">
        <v>3907.786582177243</v>
      </c>
      <c r="FB128" s="71">
        <v>3937.7050970500482</v>
      </c>
      <c r="FC128" s="71">
        <v>3967.6236119228524</v>
      </c>
      <c r="FD128" s="71">
        <v>3997.5421267956567</v>
      </c>
      <c r="FE128" s="71">
        <v>4027.460641668461</v>
      </c>
      <c r="FF128" s="72">
        <v>730133</v>
      </c>
      <c r="FG128" s="72">
        <v>732332</v>
      </c>
      <c r="FH128" s="476">
        <v>735898</v>
      </c>
      <c r="FI128" s="476">
        <v>738981.07</v>
      </c>
      <c r="FJ128" s="476">
        <v>742735.01800000004</v>
      </c>
      <c r="FK128" s="476">
        <v>746749.7379999999</v>
      </c>
    </row>
    <row r="129" spans="1:167">
      <c r="A129" s="73" t="s">
        <v>939</v>
      </c>
      <c r="B129" s="19" t="s">
        <v>940</v>
      </c>
      <c r="C129" s="74" t="s">
        <v>774</v>
      </c>
      <c r="D129" s="75" t="s">
        <v>438</v>
      </c>
      <c r="E129" s="76">
        <v>380</v>
      </c>
      <c r="F129" s="77">
        <v>480</v>
      </c>
      <c r="G129" s="410">
        <v>480</v>
      </c>
      <c r="H129" s="78">
        <v>47110</v>
      </c>
      <c r="I129" s="77">
        <v>48755</v>
      </c>
      <c r="J129" s="410">
        <v>49817</v>
      </c>
      <c r="K129" s="410">
        <v>50972.722999999991</v>
      </c>
      <c r="L129" s="418">
        <v>51940.109000000011</v>
      </c>
      <c r="M129" s="79">
        <v>802.4</v>
      </c>
      <c r="N129" s="80">
        <v>988.6</v>
      </c>
      <c r="O129" s="421">
        <v>982.4</v>
      </c>
      <c r="P129" s="71">
        <v>462</v>
      </c>
      <c r="Q129" s="75" t="s">
        <v>438</v>
      </c>
      <c r="R129" s="81">
        <v>270</v>
      </c>
      <c r="S129" s="77">
        <v>245</v>
      </c>
      <c r="T129" s="452">
        <v>265</v>
      </c>
      <c r="U129" s="77">
        <v>315</v>
      </c>
      <c r="V129" s="77">
        <v>320</v>
      </c>
      <c r="W129" s="452">
        <v>310</v>
      </c>
      <c r="X129" s="82">
        <v>86.3</v>
      </c>
      <c r="Y129" s="83">
        <v>76.3</v>
      </c>
      <c r="Z129" s="443">
        <v>85.5</v>
      </c>
      <c r="AA129" s="63">
        <v>256</v>
      </c>
      <c r="AB129" s="63">
        <v>320</v>
      </c>
      <c r="AC129" s="19" t="s">
        <v>438</v>
      </c>
      <c r="AD129" s="84">
        <v>979</v>
      </c>
      <c r="AE129" s="85">
        <v>1201</v>
      </c>
      <c r="AF129" s="85">
        <v>1026</v>
      </c>
      <c r="AG129" s="85">
        <v>696</v>
      </c>
      <c r="AH129" s="85">
        <v>753</v>
      </c>
      <c r="AI129" s="85">
        <v>910</v>
      </c>
      <c r="AJ129" s="85">
        <v>1042</v>
      </c>
      <c r="AK129" s="85">
        <v>836</v>
      </c>
      <c r="AL129" s="96">
        <v>782</v>
      </c>
      <c r="AM129" s="96">
        <v>818</v>
      </c>
      <c r="AN129" s="96">
        <v>821</v>
      </c>
      <c r="AO129" s="96">
        <v>1050</v>
      </c>
      <c r="AP129" s="96">
        <v>1031</v>
      </c>
      <c r="AQ129" s="96">
        <v>1185</v>
      </c>
      <c r="AR129" s="96">
        <v>981</v>
      </c>
      <c r="AS129" s="96">
        <v>792</v>
      </c>
      <c r="AT129" s="96">
        <v>834</v>
      </c>
      <c r="AU129" s="96">
        <v>807</v>
      </c>
      <c r="AV129" s="96">
        <v>904</v>
      </c>
      <c r="AW129" s="96">
        <v>904</v>
      </c>
      <c r="AX129" s="97">
        <v>727</v>
      </c>
      <c r="AY129" s="97">
        <v>867</v>
      </c>
      <c r="AZ129" s="97">
        <v>664</v>
      </c>
      <c r="BA129" s="97">
        <v>700</v>
      </c>
      <c r="BB129" s="97">
        <v>858</v>
      </c>
      <c r="BC129" s="97">
        <v>868</v>
      </c>
      <c r="BD129" s="87">
        <v>983</v>
      </c>
      <c r="BE129" s="87">
        <v>710</v>
      </c>
      <c r="BF129" s="87">
        <v>1099</v>
      </c>
      <c r="BG129" s="87">
        <v>1185</v>
      </c>
      <c r="BH129" s="87">
        <v>687</v>
      </c>
      <c r="BI129" s="87">
        <v>560</v>
      </c>
      <c r="BJ129" s="87">
        <v>649</v>
      </c>
      <c r="BK129" s="87">
        <v>773</v>
      </c>
      <c r="BL129" s="87">
        <v>734</v>
      </c>
      <c r="BM129" s="87">
        <v>878</v>
      </c>
      <c r="BN129" s="87">
        <v>1017</v>
      </c>
      <c r="BO129" s="87">
        <v>1004</v>
      </c>
      <c r="BP129" s="87">
        <v>1102</v>
      </c>
      <c r="BQ129" s="87">
        <v>399</v>
      </c>
      <c r="BR129" s="96">
        <v>294</v>
      </c>
      <c r="BS129" s="96">
        <v>289</v>
      </c>
      <c r="BT129" s="96">
        <v>249</v>
      </c>
      <c r="BU129" s="96">
        <v>221</v>
      </c>
      <c r="BV129" s="67">
        <v>2156</v>
      </c>
      <c r="BW129" s="67">
        <v>2899</v>
      </c>
      <c r="BX129" s="67">
        <v>1795</v>
      </c>
      <c r="BY129" s="67">
        <v>759</v>
      </c>
      <c r="BZ129" s="68">
        <v>1764.118604651163</v>
      </c>
      <c r="CA129" s="68">
        <v>1677.1192389006342</v>
      </c>
      <c r="CB129" s="68">
        <v>1590.1198731501058</v>
      </c>
      <c r="CC129" s="68">
        <v>1503.1205073995773</v>
      </c>
      <c r="CD129" s="68">
        <v>1416.1211416490485</v>
      </c>
      <c r="CE129" s="68">
        <v>1329.1217758985199</v>
      </c>
      <c r="CF129" s="68">
        <v>1242.1224101479916</v>
      </c>
      <c r="CG129" s="68">
        <v>1155.1230443974632</v>
      </c>
      <c r="CH129" s="87">
        <v>221100</v>
      </c>
      <c r="CI129" s="467">
        <v>221536</v>
      </c>
      <c r="CJ129" s="467">
        <v>221602.71200000003</v>
      </c>
      <c r="CK129" s="467">
        <v>221986.67200000005</v>
      </c>
      <c r="CL129" s="468">
        <v>222354.67400000003</v>
      </c>
      <c r="CM129" s="19" t="s">
        <v>438</v>
      </c>
      <c r="CN129" s="70">
        <v>488</v>
      </c>
      <c r="CO129" s="70">
        <v>454</v>
      </c>
      <c r="CP129" s="70">
        <v>468</v>
      </c>
      <c r="CQ129" s="70">
        <v>438</v>
      </c>
      <c r="CR129" s="70">
        <v>460</v>
      </c>
      <c r="CS129" s="70">
        <v>499</v>
      </c>
      <c r="CT129" s="70">
        <v>611</v>
      </c>
      <c r="CU129" s="70">
        <v>570</v>
      </c>
      <c r="CV129" s="70">
        <v>672</v>
      </c>
      <c r="CW129" s="70">
        <v>575</v>
      </c>
      <c r="CX129" s="70">
        <v>604</v>
      </c>
      <c r="CY129" s="70">
        <v>530</v>
      </c>
      <c r="CZ129" s="70">
        <v>556</v>
      </c>
      <c r="DA129" s="70">
        <v>578</v>
      </c>
      <c r="DB129" s="70">
        <v>521</v>
      </c>
      <c r="DC129" s="70">
        <v>510</v>
      </c>
      <c r="DD129" s="70">
        <v>527</v>
      </c>
      <c r="DE129" s="70">
        <v>583</v>
      </c>
      <c r="DF129" s="70">
        <v>608</v>
      </c>
      <c r="DG129" s="70">
        <v>616</v>
      </c>
      <c r="DH129" s="70">
        <v>795</v>
      </c>
      <c r="DI129" s="70">
        <v>760</v>
      </c>
      <c r="DJ129" s="70">
        <v>673</v>
      </c>
      <c r="DK129" s="70">
        <v>613</v>
      </c>
      <c r="DL129" s="46">
        <v>650</v>
      </c>
      <c r="DM129" s="46">
        <v>597</v>
      </c>
      <c r="DN129" s="46">
        <v>592</v>
      </c>
      <c r="DO129" s="46">
        <v>571</v>
      </c>
      <c r="DP129" s="46">
        <v>552</v>
      </c>
      <c r="DQ129" s="46">
        <v>556</v>
      </c>
      <c r="DR129" s="46">
        <v>607</v>
      </c>
      <c r="DS129" s="46">
        <v>614</v>
      </c>
      <c r="DT129" s="46">
        <v>678</v>
      </c>
      <c r="DU129" s="46">
        <v>686</v>
      </c>
      <c r="DV129" s="46">
        <v>771</v>
      </c>
      <c r="DW129" s="46">
        <v>707</v>
      </c>
      <c r="DX129" s="46">
        <v>670</v>
      </c>
      <c r="DY129" s="46">
        <v>710</v>
      </c>
      <c r="DZ129" s="46">
        <v>673</v>
      </c>
      <c r="EA129" s="46">
        <v>658</v>
      </c>
      <c r="EB129" s="46">
        <v>618</v>
      </c>
      <c r="EC129" s="46">
        <v>645</v>
      </c>
      <c r="ED129" s="46">
        <v>695</v>
      </c>
      <c r="EE129" s="46">
        <v>689</v>
      </c>
      <c r="EF129" s="46">
        <v>825</v>
      </c>
      <c r="EG129" s="46">
        <v>691</v>
      </c>
      <c r="EH129" s="46">
        <v>612</v>
      </c>
      <c r="EI129" s="46">
        <v>695</v>
      </c>
      <c r="EJ129" s="46">
        <v>611</v>
      </c>
      <c r="EK129" s="46">
        <v>540</v>
      </c>
      <c r="EL129" s="46">
        <v>519</v>
      </c>
      <c r="EM129" s="46">
        <v>529</v>
      </c>
      <c r="EN129" s="46">
        <v>488</v>
      </c>
      <c r="EO129" s="46">
        <v>508</v>
      </c>
      <c r="EP129" s="46">
        <v>593</v>
      </c>
      <c r="EQ129" s="46">
        <v>593</v>
      </c>
      <c r="ER129" s="46">
        <v>632</v>
      </c>
      <c r="ES129" s="46">
        <v>584</v>
      </c>
      <c r="ET129" s="46">
        <v>1998</v>
      </c>
      <c r="EU129" s="46">
        <v>1670</v>
      </c>
      <c r="EV129" s="46">
        <v>1525</v>
      </c>
      <c r="EW129" s="46">
        <v>1818</v>
      </c>
      <c r="EX129" s="71">
        <v>1982.8292780460797</v>
      </c>
      <c r="EY129" s="71">
        <v>1998.4262511919778</v>
      </c>
      <c r="EZ129" s="71">
        <v>2014.0232243378759</v>
      </c>
      <c r="FA129" s="71">
        <v>2029.6201974837741</v>
      </c>
      <c r="FB129" s="71">
        <v>2045.2171706296722</v>
      </c>
      <c r="FC129" s="71">
        <v>2060.8141437755698</v>
      </c>
      <c r="FD129" s="71">
        <v>2076.411116921468</v>
      </c>
      <c r="FE129" s="71">
        <v>2092.0080900673661</v>
      </c>
      <c r="FF129" s="72">
        <v>275330</v>
      </c>
      <c r="FG129" s="72">
        <v>275743</v>
      </c>
      <c r="FH129" s="476">
        <v>276080</v>
      </c>
      <c r="FI129" s="476">
        <v>275914.10100000002</v>
      </c>
      <c r="FJ129" s="476">
        <v>276132.61700000003</v>
      </c>
      <c r="FK129" s="476">
        <v>276431.364</v>
      </c>
    </row>
    <row r="130" spans="1:167">
      <c r="A130" s="73" t="s">
        <v>924</v>
      </c>
      <c r="B130" s="19" t="s">
        <v>925</v>
      </c>
      <c r="C130" s="74" t="s">
        <v>775</v>
      </c>
      <c r="D130" s="75" t="s">
        <v>441</v>
      </c>
      <c r="E130" s="76">
        <v>1425</v>
      </c>
      <c r="F130" s="77">
        <v>1155</v>
      </c>
      <c r="G130" s="410">
        <v>1190</v>
      </c>
      <c r="H130" s="78">
        <v>196140</v>
      </c>
      <c r="I130" s="77">
        <v>203275</v>
      </c>
      <c r="J130" s="410">
        <v>208694</v>
      </c>
      <c r="K130" s="410">
        <v>214252.73200000005</v>
      </c>
      <c r="L130" s="418">
        <v>218722.93499999997</v>
      </c>
      <c r="M130" s="79">
        <v>727</v>
      </c>
      <c r="N130" s="80">
        <v>567.70000000000005</v>
      </c>
      <c r="O130" s="421">
        <v>585.9</v>
      </c>
      <c r="P130" s="71">
        <v>1221.164076</v>
      </c>
      <c r="Q130" s="75" t="s">
        <v>441</v>
      </c>
      <c r="R130" s="81">
        <v>250</v>
      </c>
      <c r="S130" s="77">
        <v>225</v>
      </c>
      <c r="T130" s="452">
        <v>360</v>
      </c>
      <c r="U130" s="77">
        <v>335</v>
      </c>
      <c r="V130" s="77">
        <v>315</v>
      </c>
      <c r="W130" s="452">
        <v>515</v>
      </c>
      <c r="X130" s="82">
        <v>74</v>
      </c>
      <c r="Y130" s="83">
        <v>72</v>
      </c>
      <c r="Z130" s="443">
        <v>69.599999999999994</v>
      </c>
      <c r="AA130" s="63">
        <v>243</v>
      </c>
      <c r="AB130" s="63">
        <v>315</v>
      </c>
      <c r="AC130" s="19" t="s">
        <v>441</v>
      </c>
      <c r="AD130" s="84">
        <v>2715</v>
      </c>
      <c r="AE130" s="85">
        <v>2619</v>
      </c>
      <c r="AF130" s="85">
        <v>2608</v>
      </c>
      <c r="AG130" s="85">
        <v>2867</v>
      </c>
      <c r="AH130" s="85">
        <v>3205</v>
      </c>
      <c r="AI130" s="85">
        <v>3362</v>
      </c>
      <c r="AJ130" s="85">
        <v>3289</v>
      </c>
      <c r="AK130" s="85">
        <v>3511</v>
      </c>
      <c r="AL130" s="96">
        <v>3313</v>
      </c>
      <c r="AM130" s="96">
        <v>3539</v>
      </c>
      <c r="AN130" s="96">
        <v>3259</v>
      </c>
      <c r="AO130" s="96">
        <v>2788</v>
      </c>
      <c r="AP130" s="96">
        <v>2580</v>
      </c>
      <c r="AQ130" s="96">
        <v>2605</v>
      </c>
      <c r="AR130" s="96">
        <v>2877</v>
      </c>
      <c r="AS130" s="96">
        <v>3050</v>
      </c>
      <c r="AT130" s="96">
        <v>3069</v>
      </c>
      <c r="AU130" s="96">
        <v>3458</v>
      </c>
      <c r="AV130" s="96">
        <v>3697</v>
      </c>
      <c r="AW130" s="96">
        <v>3371</v>
      </c>
      <c r="AX130" s="97">
        <v>3277</v>
      </c>
      <c r="AY130" s="97">
        <v>3272</v>
      </c>
      <c r="AZ130" s="97">
        <v>2696</v>
      </c>
      <c r="BA130" s="97">
        <v>2336</v>
      </c>
      <c r="BB130" s="97">
        <v>2201</v>
      </c>
      <c r="BC130" s="97">
        <v>2537</v>
      </c>
      <c r="BD130" s="87">
        <v>2294</v>
      </c>
      <c r="BE130" s="87">
        <v>2304</v>
      </c>
      <c r="BF130" s="87">
        <v>2108</v>
      </c>
      <c r="BG130" s="87">
        <v>2074</v>
      </c>
      <c r="BH130" s="87">
        <v>2388</v>
      </c>
      <c r="BI130" s="87">
        <v>2496</v>
      </c>
      <c r="BJ130" s="87">
        <v>2131</v>
      </c>
      <c r="BK130" s="87">
        <v>2443</v>
      </c>
      <c r="BL130" s="87">
        <v>2563</v>
      </c>
      <c r="BM130" s="87">
        <v>2105</v>
      </c>
      <c r="BN130" s="87">
        <v>2054</v>
      </c>
      <c r="BO130" s="87">
        <v>2465</v>
      </c>
      <c r="BP130" s="87">
        <v>2508</v>
      </c>
      <c r="BQ130" s="87">
        <v>2302</v>
      </c>
      <c r="BR130" s="96">
        <v>2452</v>
      </c>
      <c r="BS130" s="96">
        <v>2271</v>
      </c>
      <c r="BT130" s="96">
        <v>2099</v>
      </c>
      <c r="BU130" s="96">
        <v>2308</v>
      </c>
      <c r="BV130" s="67">
        <v>7137</v>
      </c>
      <c r="BW130" s="67">
        <v>6624</v>
      </c>
      <c r="BX130" s="67">
        <v>7262</v>
      </c>
      <c r="BY130" s="67">
        <v>6678</v>
      </c>
      <c r="BZ130" s="68">
        <v>6404.9186046511622</v>
      </c>
      <c r="CA130" s="68">
        <v>6182.7283298097245</v>
      </c>
      <c r="CB130" s="68">
        <v>5960.5380549682868</v>
      </c>
      <c r="CC130" s="68">
        <v>5738.3477801268491</v>
      </c>
      <c r="CD130" s="68">
        <v>5516.1575052854114</v>
      </c>
      <c r="CE130" s="68">
        <v>5293.9672304439737</v>
      </c>
      <c r="CF130" s="68">
        <v>5071.776955602536</v>
      </c>
      <c r="CG130" s="68">
        <v>4849.5866807610983</v>
      </c>
      <c r="CH130" s="87">
        <v>893700</v>
      </c>
      <c r="CI130" s="467">
        <v>899844</v>
      </c>
      <c r="CJ130" s="467">
        <v>907171.80400000117</v>
      </c>
      <c r="CK130" s="467">
        <v>914466.73999999906</v>
      </c>
      <c r="CL130" s="468">
        <v>921915.20500000042</v>
      </c>
      <c r="CM130" s="19" t="s">
        <v>441</v>
      </c>
      <c r="CN130" s="70">
        <v>1372</v>
      </c>
      <c r="CO130" s="70">
        <v>1296</v>
      </c>
      <c r="CP130" s="70">
        <v>1262</v>
      </c>
      <c r="CQ130" s="70">
        <v>1336</v>
      </c>
      <c r="CR130" s="70">
        <v>1248</v>
      </c>
      <c r="CS130" s="70">
        <v>1342</v>
      </c>
      <c r="CT130" s="70">
        <v>1573</v>
      </c>
      <c r="CU130" s="70">
        <v>1473</v>
      </c>
      <c r="CV130" s="70">
        <v>1649</v>
      </c>
      <c r="CW130" s="70">
        <v>1473</v>
      </c>
      <c r="CX130" s="70">
        <v>1412</v>
      </c>
      <c r="CY130" s="70">
        <v>1486</v>
      </c>
      <c r="CZ130" s="70">
        <v>1408</v>
      </c>
      <c r="DA130" s="70">
        <v>1364</v>
      </c>
      <c r="DB130" s="70">
        <v>1262</v>
      </c>
      <c r="DC130" s="70">
        <v>1352</v>
      </c>
      <c r="DD130" s="70">
        <v>1250</v>
      </c>
      <c r="DE130" s="70">
        <v>1380</v>
      </c>
      <c r="DF130" s="70">
        <v>1469</v>
      </c>
      <c r="DG130" s="70">
        <v>1464</v>
      </c>
      <c r="DH130" s="70">
        <v>1663</v>
      </c>
      <c r="DI130" s="70">
        <v>1554</v>
      </c>
      <c r="DJ130" s="70">
        <v>1370</v>
      </c>
      <c r="DK130" s="70">
        <v>1391</v>
      </c>
      <c r="DL130" s="46">
        <v>1419</v>
      </c>
      <c r="DM130" s="46">
        <v>1317</v>
      </c>
      <c r="DN130" s="46">
        <v>1299</v>
      </c>
      <c r="DO130" s="46">
        <v>1267</v>
      </c>
      <c r="DP130" s="46">
        <v>1387</v>
      </c>
      <c r="DQ130" s="46">
        <v>1311</v>
      </c>
      <c r="DR130" s="46">
        <v>1334</v>
      </c>
      <c r="DS130" s="46">
        <v>1534</v>
      </c>
      <c r="DT130" s="46">
        <v>1694</v>
      </c>
      <c r="DU130" s="46">
        <v>1486</v>
      </c>
      <c r="DV130" s="46">
        <v>1511</v>
      </c>
      <c r="DW130" s="46">
        <v>1423</v>
      </c>
      <c r="DX130" s="46">
        <v>1443</v>
      </c>
      <c r="DY130" s="46">
        <v>1442</v>
      </c>
      <c r="DZ130" s="46">
        <v>1396</v>
      </c>
      <c r="EA130" s="46">
        <v>1370</v>
      </c>
      <c r="EB130" s="46">
        <v>1286</v>
      </c>
      <c r="EC130" s="46">
        <v>1318</v>
      </c>
      <c r="ED130" s="46">
        <v>1534</v>
      </c>
      <c r="EE130" s="46">
        <v>1616</v>
      </c>
      <c r="EF130" s="46">
        <v>1661</v>
      </c>
      <c r="EG130" s="46">
        <v>1556</v>
      </c>
      <c r="EH130" s="46">
        <v>1412</v>
      </c>
      <c r="EI130" s="46">
        <v>1411</v>
      </c>
      <c r="EJ130" s="46">
        <v>1522</v>
      </c>
      <c r="EK130" s="46">
        <v>1452</v>
      </c>
      <c r="EL130" s="46">
        <v>1351</v>
      </c>
      <c r="EM130" s="46">
        <v>1352</v>
      </c>
      <c r="EN130" s="46">
        <v>1289</v>
      </c>
      <c r="EO130" s="46">
        <v>1375</v>
      </c>
      <c r="EP130" s="46">
        <v>1416</v>
      </c>
      <c r="EQ130" s="46">
        <v>1555</v>
      </c>
      <c r="ER130" s="46">
        <v>1706</v>
      </c>
      <c r="ES130" s="46">
        <v>1391</v>
      </c>
      <c r="ET130" s="46">
        <v>4379</v>
      </c>
      <c r="EU130" s="46">
        <v>4325</v>
      </c>
      <c r="EV130" s="46">
        <v>4016</v>
      </c>
      <c r="EW130" s="46">
        <v>4677</v>
      </c>
      <c r="EX130" s="71">
        <v>4425.4401857947023</v>
      </c>
      <c r="EY130" s="71">
        <v>4439.1598634224374</v>
      </c>
      <c r="EZ130" s="71">
        <v>4452.8795410501707</v>
      </c>
      <c r="FA130" s="71">
        <v>4466.599218677904</v>
      </c>
      <c r="FB130" s="71">
        <v>4480.3188963056382</v>
      </c>
      <c r="FC130" s="71">
        <v>4494.0385739333724</v>
      </c>
      <c r="FD130" s="71">
        <v>4507.7582515611057</v>
      </c>
      <c r="FE130" s="71">
        <v>4521.4779291888399</v>
      </c>
      <c r="FF130" s="72">
        <v>1135367</v>
      </c>
      <c r="FG130" s="72">
        <v>1143509</v>
      </c>
      <c r="FH130" s="476">
        <v>1152114</v>
      </c>
      <c r="FI130" s="476">
        <v>1161581.3699999999</v>
      </c>
      <c r="FJ130" s="476">
        <v>1171223.5510000002</v>
      </c>
      <c r="FK130" s="476">
        <v>1181300.8230000001</v>
      </c>
    </row>
    <row r="131" spans="1:167">
      <c r="A131" s="73" t="s">
        <v>907</v>
      </c>
      <c r="B131" s="19" t="s">
        <v>908</v>
      </c>
      <c r="C131" s="74" t="s">
        <v>776</v>
      </c>
      <c r="D131" s="75" t="s">
        <v>444</v>
      </c>
      <c r="E131" s="76">
        <v>45</v>
      </c>
      <c r="F131" s="77">
        <v>45</v>
      </c>
      <c r="G131" s="410">
        <v>65</v>
      </c>
      <c r="H131" s="78">
        <v>27540</v>
      </c>
      <c r="I131" s="77">
        <v>28755</v>
      </c>
      <c r="J131" s="410">
        <v>29419</v>
      </c>
      <c r="K131" s="410">
        <v>30029.608</v>
      </c>
      <c r="L131" s="418">
        <v>30542.51</v>
      </c>
      <c r="M131" s="79">
        <v>170.6</v>
      </c>
      <c r="N131" s="80">
        <v>153</v>
      </c>
      <c r="O131" s="421">
        <v>233</v>
      </c>
      <c r="P131" s="71">
        <v>78</v>
      </c>
      <c r="Q131" s="75" t="s">
        <v>444</v>
      </c>
      <c r="R131" s="81">
        <v>170</v>
      </c>
      <c r="S131" s="77">
        <v>80</v>
      </c>
      <c r="T131" s="452">
        <v>155</v>
      </c>
      <c r="U131" s="77">
        <v>215</v>
      </c>
      <c r="V131" s="77">
        <v>110</v>
      </c>
      <c r="W131" s="452">
        <v>165</v>
      </c>
      <c r="X131" s="82">
        <v>80</v>
      </c>
      <c r="Y131" s="83">
        <v>74.099999999999994</v>
      </c>
      <c r="Z131" s="443">
        <v>93.4</v>
      </c>
      <c r="AA131" s="63">
        <v>378</v>
      </c>
      <c r="AB131" s="63">
        <v>420</v>
      </c>
      <c r="AC131" s="19" t="s">
        <v>444</v>
      </c>
      <c r="AD131" s="84">
        <v>126</v>
      </c>
      <c r="AE131" s="85">
        <v>130</v>
      </c>
      <c r="AF131" s="85">
        <v>91</v>
      </c>
      <c r="AG131" s="85">
        <v>130</v>
      </c>
      <c r="AH131" s="85">
        <v>103</v>
      </c>
      <c r="AI131" s="85">
        <v>163</v>
      </c>
      <c r="AJ131" s="85">
        <v>243</v>
      </c>
      <c r="AK131" s="85">
        <v>170</v>
      </c>
      <c r="AL131" s="96">
        <v>217</v>
      </c>
      <c r="AM131" s="96">
        <v>391</v>
      </c>
      <c r="AN131" s="96">
        <v>334</v>
      </c>
      <c r="AO131" s="96">
        <v>357</v>
      </c>
      <c r="AP131" s="96">
        <v>402</v>
      </c>
      <c r="AQ131" s="96">
        <v>376</v>
      </c>
      <c r="AR131" s="96">
        <v>392</v>
      </c>
      <c r="AS131" s="96">
        <v>334</v>
      </c>
      <c r="AT131" s="96">
        <v>272</v>
      </c>
      <c r="AU131" s="96">
        <v>223</v>
      </c>
      <c r="AV131" s="96">
        <v>230</v>
      </c>
      <c r="AW131" s="96">
        <v>163</v>
      </c>
      <c r="AX131" s="97">
        <v>215</v>
      </c>
      <c r="AY131" s="97">
        <v>224</v>
      </c>
      <c r="AZ131" s="97">
        <v>226</v>
      </c>
      <c r="BA131" s="97">
        <v>212</v>
      </c>
      <c r="BB131" s="97">
        <v>266</v>
      </c>
      <c r="BC131" s="97">
        <v>188</v>
      </c>
      <c r="BD131" s="87">
        <v>228</v>
      </c>
      <c r="BE131" s="87">
        <v>362</v>
      </c>
      <c r="BF131" s="87">
        <v>178</v>
      </c>
      <c r="BG131" s="87">
        <v>165</v>
      </c>
      <c r="BH131" s="87">
        <v>172</v>
      </c>
      <c r="BI131" s="87">
        <v>189</v>
      </c>
      <c r="BJ131" s="87">
        <v>226</v>
      </c>
      <c r="BK131" s="87">
        <v>276</v>
      </c>
      <c r="BL131" s="87">
        <v>272</v>
      </c>
      <c r="BM131" s="87">
        <v>209</v>
      </c>
      <c r="BN131" s="87">
        <v>317</v>
      </c>
      <c r="BO131" s="87">
        <v>372</v>
      </c>
      <c r="BP131" s="87">
        <v>231</v>
      </c>
      <c r="BQ131" s="87">
        <v>345</v>
      </c>
      <c r="BR131" s="96">
        <v>395</v>
      </c>
      <c r="BS131" s="96">
        <v>478</v>
      </c>
      <c r="BT131" s="96">
        <v>294</v>
      </c>
      <c r="BU131" s="96">
        <v>304</v>
      </c>
      <c r="BV131" s="67">
        <v>774</v>
      </c>
      <c r="BW131" s="67">
        <v>898</v>
      </c>
      <c r="BX131" s="67">
        <v>971</v>
      </c>
      <c r="BY131" s="67">
        <v>1076</v>
      </c>
      <c r="BZ131" s="68">
        <v>958.16215644820295</v>
      </c>
      <c r="CA131" s="68">
        <v>983.07357293868927</v>
      </c>
      <c r="CB131" s="68">
        <v>1007.9849894291756</v>
      </c>
      <c r="CC131" s="68">
        <v>1032.8964059196617</v>
      </c>
      <c r="CD131" s="68">
        <v>1057.8078224101478</v>
      </c>
      <c r="CE131" s="68">
        <v>1082.7192389006341</v>
      </c>
      <c r="CF131" s="68">
        <v>1107.6306553911204</v>
      </c>
      <c r="CG131" s="68">
        <v>1132.5420718816067</v>
      </c>
      <c r="CH131" s="87">
        <v>149700</v>
      </c>
      <c r="CI131" s="467">
        <v>151229</v>
      </c>
      <c r="CJ131" s="467">
        <v>153382.32300000003</v>
      </c>
      <c r="CK131" s="467">
        <v>155346.55900000001</v>
      </c>
      <c r="CL131" s="468">
        <v>157334.092</v>
      </c>
      <c r="CM131" s="19" t="s">
        <v>444</v>
      </c>
      <c r="CN131" s="70">
        <v>172</v>
      </c>
      <c r="CO131" s="70">
        <v>177</v>
      </c>
      <c r="CP131" s="70">
        <v>195</v>
      </c>
      <c r="CQ131" s="70">
        <v>160</v>
      </c>
      <c r="CR131" s="70">
        <v>171</v>
      </c>
      <c r="CS131" s="70">
        <v>140</v>
      </c>
      <c r="CT131" s="70">
        <v>155</v>
      </c>
      <c r="CU131" s="70">
        <v>173</v>
      </c>
      <c r="CV131" s="70">
        <v>178</v>
      </c>
      <c r="CW131" s="70">
        <v>132</v>
      </c>
      <c r="CX131" s="70">
        <v>121</v>
      </c>
      <c r="CY131" s="70">
        <v>131</v>
      </c>
      <c r="CZ131" s="70">
        <v>152</v>
      </c>
      <c r="DA131" s="70">
        <v>117</v>
      </c>
      <c r="DB131" s="70">
        <v>126</v>
      </c>
      <c r="DC131" s="70">
        <v>138</v>
      </c>
      <c r="DD131" s="70">
        <v>157</v>
      </c>
      <c r="DE131" s="70">
        <v>173</v>
      </c>
      <c r="DF131" s="70">
        <v>173</v>
      </c>
      <c r="DG131" s="70">
        <v>158</v>
      </c>
      <c r="DH131" s="70">
        <v>186</v>
      </c>
      <c r="DI131" s="70">
        <v>144</v>
      </c>
      <c r="DJ131" s="70">
        <v>205</v>
      </c>
      <c r="DK131" s="70">
        <v>205</v>
      </c>
      <c r="DL131" s="46">
        <v>228</v>
      </c>
      <c r="DM131" s="46">
        <v>165</v>
      </c>
      <c r="DN131" s="46">
        <v>189</v>
      </c>
      <c r="DO131" s="46">
        <v>164</v>
      </c>
      <c r="DP131" s="46">
        <v>201</v>
      </c>
      <c r="DQ131" s="46">
        <v>220</v>
      </c>
      <c r="DR131" s="46">
        <v>233</v>
      </c>
      <c r="DS131" s="46">
        <v>222</v>
      </c>
      <c r="DT131" s="46">
        <v>270</v>
      </c>
      <c r="DU131" s="46">
        <v>207</v>
      </c>
      <c r="DV131" s="46">
        <v>253</v>
      </c>
      <c r="DW131" s="46">
        <v>227</v>
      </c>
      <c r="DX131" s="46">
        <v>216</v>
      </c>
      <c r="DY131" s="46">
        <v>266</v>
      </c>
      <c r="DZ131" s="46">
        <v>228</v>
      </c>
      <c r="EA131" s="46">
        <v>229</v>
      </c>
      <c r="EB131" s="46">
        <v>206</v>
      </c>
      <c r="EC131" s="46">
        <v>272</v>
      </c>
      <c r="ED131" s="46">
        <v>298</v>
      </c>
      <c r="EE131" s="46">
        <v>299</v>
      </c>
      <c r="EF131" s="46">
        <v>321</v>
      </c>
      <c r="EG131" s="46">
        <v>247</v>
      </c>
      <c r="EH131" s="46">
        <v>252</v>
      </c>
      <c r="EI131" s="46">
        <v>257</v>
      </c>
      <c r="EJ131" s="46">
        <v>254</v>
      </c>
      <c r="EK131" s="46">
        <v>268</v>
      </c>
      <c r="EL131" s="46">
        <v>258</v>
      </c>
      <c r="EM131" s="46">
        <v>255</v>
      </c>
      <c r="EN131" s="46">
        <v>299</v>
      </c>
      <c r="EO131" s="46">
        <v>290</v>
      </c>
      <c r="EP131" s="46">
        <v>305</v>
      </c>
      <c r="EQ131" s="46">
        <v>309</v>
      </c>
      <c r="ER131" s="46">
        <v>396</v>
      </c>
      <c r="ES131" s="46">
        <v>316</v>
      </c>
      <c r="ET131" s="46">
        <v>756</v>
      </c>
      <c r="EU131" s="46">
        <v>780</v>
      </c>
      <c r="EV131" s="46">
        <v>844</v>
      </c>
      <c r="EW131" s="46">
        <v>1010</v>
      </c>
      <c r="EX131" s="71">
        <v>950.31932695561227</v>
      </c>
      <c r="EY131" s="71">
        <v>978.55516933772174</v>
      </c>
      <c r="EZ131" s="71">
        <v>1006.7910117198314</v>
      </c>
      <c r="FA131" s="71">
        <v>1035.0268541019409</v>
      </c>
      <c r="FB131" s="71">
        <v>1063.2626964840506</v>
      </c>
      <c r="FC131" s="71">
        <v>1091.4985388661601</v>
      </c>
      <c r="FD131" s="71">
        <v>1119.7343812482695</v>
      </c>
      <c r="FE131" s="71">
        <v>1147.9702236303792</v>
      </c>
      <c r="FF131" s="72">
        <v>191123</v>
      </c>
      <c r="FG131" s="72">
        <v>193630</v>
      </c>
      <c r="FH131" s="476">
        <v>195914</v>
      </c>
      <c r="FI131" s="476">
        <v>198815.75399999999</v>
      </c>
      <c r="FJ131" s="476">
        <v>201532.06299999999</v>
      </c>
      <c r="FK131" s="476">
        <v>204328.00700000001</v>
      </c>
    </row>
    <row r="132" spans="1:167">
      <c r="A132" s="73" t="s">
        <v>903</v>
      </c>
      <c r="B132" s="19" t="s">
        <v>904</v>
      </c>
      <c r="C132" s="74" t="s">
        <v>777</v>
      </c>
      <c r="D132" s="75" t="s">
        <v>447</v>
      </c>
      <c r="E132" s="76">
        <v>195</v>
      </c>
      <c r="F132" s="77">
        <v>180</v>
      </c>
      <c r="G132" s="410">
        <v>225</v>
      </c>
      <c r="H132" s="78">
        <v>29070</v>
      </c>
      <c r="I132" s="77">
        <v>30345</v>
      </c>
      <c r="J132" s="410">
        <v>31361</v>
      </c>
      <c r="K132" s="410">
        <v>32319.025999999994</v>
      </c>
      <c r="L132" s="418">
        <v>33253.375000000007</v>
      </c>
      <c r="M132" s="79">
        <v>670.8</v>
      </c>
      <c r="N132" s="80">
        <v>586.6</v>
      </c>
      <c r="O132" s="421">
        <v>744.7</v>
      </c>
      <c r="P132" s="71">
        <v>193</v>
      </c>
      <c r="Q132" s="75" t="s">
        <v>447</v>
      </c>
      <c r="R132" s="81">
        <v>65</v>
      </c>
      <c r="S132" s="77">
        <v>55</v>
      </c>
      <c r="T132" s="452">
        <v>65</v>
      </c>
      <c r="U132" s="77">
        <v>75</v>
      </c>
      <c r="V132" s="77">
        <v>70</v>
      </c>
      <c r="W132" s="452">
        <v>65</v>
      </c>
      <c r="X132" s="82">
        <v>89</v>
      </c>
      <c r="Y132" s="83">
        <v>80</v>
      </c>
      <c r="Z132" s="443">
        <v>94</v>
      </c>
      <c r="AA132" s="63">
        <v>61</v>
      </c>
      <c r="AB132" s="63">
        <v>72</v>
      </c>
      <c r="AC132" s="19" t="s">
        <v>447</v>
      </c>
      <c r="AD132" s="84">
        <v>516</v>
      </c>
      <c r="AE132" s="85">
        <v>471</v>
      </c>
      <c r="AF132" s="85">
        <v>620</v>
      </c>
      <c r="AG132" s="85">
        <v>434</v>
      </c>
      <c r="AH132" s="85">
        <v>382</v>
      </c>
      <c r="AI132" s="85">
        <v>231</v>
      </c>
      <c r="AJ132" s="85">
        <v>261</v>
      </c>
      <c r="AK132" s="85">
        <v>451</v>
      </c>
      <c r="AL132" s="96">
        <v>434</v>
      </c>
      <c r="AM132" s="96">
        <v>899</v>
      </c>
      <c r="AN132" s="96">
        <v>936</v>
      </c>
      <c r="AO132" s="96">
        <v>1387</v>
      </c>
      <c r="AP132" s="96">
        <v>1296</v>
      </c>
      <c r="AQ132" s="96">
        <v>907</v>
      </c>
      <c r="AR132" s="96">
        <v>1093</v>
      </c>
      <c r="AS132" s="96">
        <v>706</v>
      </c>
      <c r="AT132" s="96">
        <v>561</v>
      </c>
      <c r="AU132" s="96">
        <v>565</v>
      </c>
      <c r="AV132" s="96">
        <v>294</v>
      </c>
      <c r="AW132" s="96">
        <v>316</v>
      </c>
      <c r="AX132" s="97">
        <v>387</v>
      </c>
      <c r="AY132" s="97">
        <v>312</v>
      </c>
      <c r="AZ132" s="97">
        <v>254</v>
      </c>
      <c r="BA132" s="97">
        <v>210</v>
      </c>
      <c r="BB132" s="97">
        <v>95</v>
      </c>
      <c r="BC132" s="97">
        <v>91</v>
      </c>
      <c r="BD132" s="87">
        <v>218</v>
      </c>
      <c r="BE132" s="87">
        <v>513</v>
      </c>
      <c r="BF132" s="87">
        <v>359</v>
      </c>
      <c r="BG132" s="87">
        <v>481</v>
      </c>
      <c r="BH132" s="87">
        <v>420</v>
      </c>
      <c r="BI132" s="87">
        <v>578</v>
      </c>
      <c r="BJ132" s="87">
        <v>346</v>
      </c>
      <c r="BK132" s="87">
        <v>537</v>
      </c>
      <c r="BL132" s="87">
        <v>520</v>
      </c>
      <c r="BM132" s="87">
        <v>309</v>
      </c>
      <c r="BN132" s="87">
        <v>487</v>
      </c>
      <c r="BO132" s="87">
        <v>645</v>
      </c>
      <c r="BP132" s="87">
        <v>577</v>
      </c>
      <c r="BQ132" s="87">
        <v>613</v>
      </c>
      <c r="BR132" s="96">
        <v>323</v>
      </c>
      <c r="BS132" s="96">
        <v>538</v>
      </c>
      <c r="BT132" s="96">
        <v>357</v>
      </c>
      <c r="BU132" s="96">
        <v>577</v>
      </c>
      <c r="BV132" s="67">
        <v>1403</v>
      </c>
      <c r="BW132" s="67">
        <v>1441</v>
      </c>
      <c r="BX132" s="67">
        <v>1513</v>
      </c>
      <c r="BY132" s="67">
        <v>1472</v>
      </c>
      <c r="BZ132" s="68">
        <v>1220.716490486258</v>
      </c>
      <c r="CA132" s="68">
        <v>1180.6503171247359</v>
      </c>
      <c r="CB132" s="68">
        <v>1140.5841437632134</v>
      </c>
      <c r="CC132" s="68">
        <v>1100.5179704016914</v>
      </c>
      <c r="CD132" s="68">
        <v>1060.4517970401689</v>
      </c>
      <c r="CE132" s="68">
        <v>1020.3856236786469</v>
      </c>
      <c r="CF132" s="68">
        <v>980.31945031712462</v>
      </c>
      <c r="CG132" s="68">
        <v>940.25327695560236</v>
      </c>
      <c r="CH132" s="87">
        <v>164600</v>
      </c>
      <c r="CI132" s="467">
        <v>166064</v>
      </c>
      <c r="CJ132" s="467">
        <v>168678.37299999996</v>
      </c>
      <c r="CK132" s="467">
        <v>170776.0419999999</v>
      </c>
      <c r="CL132" s="468">
        <v>172775.69800000006</v>
      </c>
      <c r="CM132" s="19" t="s">
        <v>447</v>
      </c>
      <c r="CN132" s="70">
        <v>258</v>
      </c>
      <c r="CO132" s="70">
        <v>293</v>
      </c>
      <c r="CP132" s="70">
        <v>257</v>
      </c>
      <c r="CQ132" s="70">
        <v>242</v>
      </c>
      <c r="CR132" s="70">
        <v>266</v>
      </c>
      <c r="CS132" s="70">
        <v>283</v>
      </c>
      <c r="CT132" s="70">
        <v>279</v>
      </c>
      <c r="CU132" s="70">
        <v>313</v>
      </c>
      <c r="CV132" s="70">
        <v>348</v>
      </c>
      <c r="CW132" s="70">
        <v>347</v>
      </c>
      <c r="CX132" s="70">
        <v>295</v>
      </c>
      <c r="CY132" s="70">
        <v>305</v>
      </c>
      <c r="CZ132" s="70">
        <v>261</v>
      </c>
      <c r="DA132" s="70">
        <v>319</v>
      </c>
      <c r="DB132" s="70">
        <v>269</v>
      </c>
      <c r="DC132" s="70">
        <v>272</v>
      </c>
      <c r="DD132" s="70">
        <v>264</v>
      </c>
      <c r="DE132" s="70">
        <v>272</v>
      </c>
      <c r="DF132" s="70">
        <v>315</v>
      </c>
      <c r="DG132" s="70">
        <v>308</v>
      </c>
      <c r="DH132" s="70">
        <v>389</v>
      </c>
      <c r="DI132" s="70">
        <v>344</v>
      </c>
      <c r="DJ132" s="70">
        <v>373</v>
      </c>
      <c r="DK132" s="70">
        <v>343</v>
      </c>
      <c r="DL132" s="46">
        <v>303</v>
      </c>
      <c r="DM132" s="46">
        <v>290</v>
      </c>
      <c r="DN132" s="46">
        <v>297</v>
      </c>
      <c r="DO132" s="46">
        <v>276</v>
      </c>
      <c r="DP132" s="46">
        <v>304</v>
      </c>
      <c r="DQ132" s="46">
        <v>289</v>
      </c>
      <c r="DR132" s="46">
        <v>320</v>
      </c>
      <c r="DS132" s="46">
        <v>324</v>
      </c>
      <c r="DT132" s="46">
        <v>422</v>
      </c>
      <c r="DU132" s="46">
        <v>393</v>
      </c>
      <c r="DV132" s="46">
        <v>389</v>
      </c>
      <c r="DW132" s="46">
        <v>342</v>
      </c>
      <c r="DX132" s="46">
        <v>356</v>
      </c>
      <c r="DY132" s="46">
        <v>381</v>
      </c>
      <c r="DZ132" s="46">
        <v>340</v>
      </c>
      <c r="EA132" s="46">
        <v>381</v>
      </c>
      <c r="EB132" s="46">
        <v>343</v>
      </c>
      <c r="EC132" s="46">
        <v>362</v>
      </c>
      <c r="ED132" s="46">
        <v>363</v>
      </c>
      <c r="EE132" s="46">
        <v>417</v>
      </c>
      <c r="EF132" s="46">
        <v>417</v>
      </c>
      <c r="EG132" s="46">
        <v>371</v>
      </c>
      <c r="EH132" s="46">
        <v>348</v>
      </c>
      <c r="EI132" s="46">
        <v>360</v>
      </c>
      <c r="EJ132" s="46">
        <v>385</v>
      </c>
      <c r="EK132" s="46">
        <v>357</v>
      </c>
      <c r="EL132" s="46">
        <v>355</v>
      </c>
      <c r="EM132" s="46">
        <v>318</v>
      </c>
      <c r="EN132" s="46">
        <v>293</v>
      </c>
      <c r="EO132" s="46">
        <v>374</v>
      </c>
      <c r="EP132" s="46">
        <v>378</v>
      </c>
      <c r="EQ132" s="46">
        <v>326</v>
      </c>
      <c r="ER132" s="46">
        <v>411</v>
      </c>
      <c r="ES132" s="46">
        <v>319</v>
      </c>
      <c r="ET132" s="46">
        <v>1079</v>
      </c>
      <c r="EU132" s="46">
        <v>1097</v>
      </c>
      <c r="EV132" s="46">
        <v>985</v>
      </c>
      <c r="EW132" s="46">
        <v>1115</v>
      </c>
      <c r="EX132" s="71">
        <v>1160.679227290904</v>
      </c>
      <c r="EY132" s="71">
        <v>1176.5344981389767</v>
      </c>
      <c r="EZ132" s="71">
        <v>1192.3897689870496</v>
      </c>
      <c r="FA132" s="71">
        <v>1208.2450398351225</v>
      </c>
      <c r="FB132" s="71">
        <v>1224.1003106831952</v>
      </c>
      <c r="FC132" s="71">
        <v>1239.9555815312681</v>
      </c>
      <c r="FD132" s="71">
        <v>1255.810852379341</v>
      </c>
      <c r="FE132" s="71">
        <v>1271.6661232274139</v>
      </c>
      <c r="FF132" s="72">
        <v>209709</v>
      </c>
      <c r="FG132" s="72">
        <v>211934</v>
      </c>
      <c r="FH132" s="476">
        <v>214037</v>
      </c>
      <c r="FI132" s="476">
        <v>217059.383</v>
      </c>
      <c r="FJ132" s="476">
        <v>219655.73199999999</v>
      </c>
      <c r="FK132" s="476">
        <v>222298.889</v>
      </c>
    </row>
    <row r="133" spans="1:167">
      <c r="A133" s="73" t="s">
        <v>913</v>
      </c>
      <c r="B133" s="19" t="s">
        <v>914</v>
      </c>
      <c r="C133" s="74" t="s">
        <v>778</v>
      </c>
      <c r="D133" s="75" t="s">
        <v>450</v>
      </c>
      <c r="E133" s="76">
        <v>160</v>
      </c>
      <c r="F133" s="77">
        <v>250</v>
      </c>
      <c r="G133" s="410">
        <v>220</v>
      </c>
      <c r="H133" s="78">
        <v>34525</v>
      </c>
      <c r="I133" s="77">
        <v>35990</v>
      </c>
      <c r="J133" s="410">
        <v>37024</v>
      </c>
      <c r="K133" s="410">
        <v>37974.564999999995</v>
      </c>
      <c r="L133" s="418">
        <v>38810.573000000011</v>
      </c>
      <c r="M133" s="79">
        <v>469.2</v>
      </c>
      <c r="N133" s="80">
        <v>700.2</v>
      </c>
      <c r="O133" s="421">
        <v>616.79999999999995</v>
      </c>
      <c r="P133" s="71">
        <v>251</v>
      </c>
      <c r="Q133" s="75" t="s">
        <v>450</v>
      </c>
      <c r="R133" s="81">
        <v>215</v>
      </c>
      <c r="S133" s="77">
        <v>355</v>
      </c>
      <c r="T133" s="452">
        <v>385</v>
      </c>
      <c r="U133" s="77">
        <v>240</v>
      </c>
      <c r="V133" s="77">
        <v>390</v>
      </c>
      <c r="W133" s="452">
        <v>440</v>
      </c>
      <c r="X133" s="82">
        <v>88.4</v>
      </c>
      <c r="Y133" s="83">
        <v>91.1</v>
      </c>
      <c r="Z133" s="443">
        <v>87.3</v>
      </c>
      <c r="AA133" s="63">
        <v>0</v>
      </c>
      <c r="AB133" s="63">
        <v>0</v>
      </c>
      <c r="AC133" s="19" t="s">
        <v>450</v>
      </c>
      <c r="AD133" s="84">
        <v>113</v>
      </c>
      <c r="AE133" s="85">
        <v>175</v>
      </c>
      <c r="AF133" s="85">
        <v>190</v>
      </c>
      <c r="AG133" s="85">
        <v>133</v>
      </c>
      <c r="AH133" s="85">
        <v>126</v>
      </c>
      <c r="AI133" s="85">
        <v>111</v>
      </c>
      <c r="AJ133" s="85">
        <v>117</v>
      </c>
      <c r="AK133" s="85">
        <v>44</v>
      </c>
      <c r="AL133" s="96">
        <v>50</v>
      </c>
      <c r="AM133" s="96">
        <v>22</v>
      </c>
      <c r="AN133" s="96">
        <v>0</v>
      </c>
      <c r="AO133" s="96">
        <v>51</v>
      </c>
      <c r="AP133" s="96">
        <v>62</v>
      </c>
      <c r="AQ133" s="96">
        <v>57</v>
      </c>
      <c r="AR133" s="96">
        <v>49</v>
      </c>
      <c r="AS133" s="96">
        <v>48</v>
      </c>
      <c r="AT133" s="96">
        <v>35</v>
      </c>
      <c r="AU133" s="96">
        <v>45</v>
      </c>
      <c r="AV133" s="96">
        <v>55</v>
      </c>
      <c r="AW133" s="96">
        <v>38</v>
      </c>
      <c r="AX133" s="97">
        <v>54</v>
      </c>
      <c r="AY133" s="97">
        <v>116</v>
      </c>
      <c r="AZ133" s="97">
        <v>130</v>
      </c>
      <c r="BA133" s="97">
        <v>174</v>
      </c>
      <c r="BB133" s="97">
        <v>909</v>
      </c>
      <c r="BC133" s="97">
        <v>914</v>
      </c>
      <c r="BD133" s="87">
        <v>1416</v>
      </c>
      <c r="BE133" s="87">
        <v>115</v>
      </c>
      <c r="BF133" s="87">
        <v>158</v>
      </c>
      <c r="BG133" s="87">
        <v>232</v>
      </c>
      <c r="BH133" s="87">
        <v>218</v>
      </c>
      <c r="BI133" s="87">
        <v>157</v>
      </c>
      <c r="BJ133" s="87">
        <v>214</v>
      </c>
      <c r="BK133" s="87">
        <v>217</v>
      </c>
      <c r="BL133" s="87">
        <v>304</v>
      </c>
      <c r="BM133" s="87">
        <v>333</v>
      </c>
      <c r="BN133" s="87">
        <v>293</v>
      </c>
      <c r="BO133" s="87">
        <v>201</v>
      </c>
      <c r="BP133" s="87">
        <v>186</v>
      </c>
      <c r="BQ133" s="87">
        <v>170</v>
      </c>
      <c r="BR133" s="96">
        <v>166</v>
      </c>
      <c r="BS133" s="96">
        <v>152</v>
      </c>
      <c r="BT133" s="96">
        <v>113</v>
      </c>
      <c r="BU133" s="96">
        <v>116</v>
      </c>
      <c r="BV133" s="67">
        <v>735</v>
      </c>
      <c r="BW133" s="67">
        <v>827</v>
      </c>
      <c r="BX133" s="67">
        <v>522</v>
      </c>
      <c r="BY133" s="67">
        <v>381</v>
      </c>
      <c r="BZ133" s="68">
        <v>917.55369978858357</v>
      </c>
      <c r="CA133" s="68">
        <v>960.0160676532771</v>
      </c>
      <c r="CB133" s="68">
        <v>1002.4784355179706</v>
      </c>
      <c r="CC133" s="68">
        <v>1044.9408033826639</v>
      </c>
      <c r="CD133" s="68">
        <v>1087.4031712473575</v>
      </c>
      <c r="CE133" s="68">
        <v>1129.8655391120508</v>
      </c>
      <c r="CF133" s="68">
        <v>1172.3279069767443</v>
      </c>
      <c r="CG133" s="68">
        <v>1214.7902748414378</v>
      </c>
      <c r="CH133" s="87">
        <v>171700</v>
      </c>
      <c r="CI133" s="467">
        <v>171930</v>
      </c>
      <c r="CJ133" s="467">
        <v>173626.50900000005</v>
      </c>
      <c r="CK133" s="467">
        <v>174683.55199999994</v>
      </c>
      <c r="CL133" s="468">
        <v>175632.21900000004</v>
      </c>
      <c r="CM133" s="19" t="s">
        <v>450</v>
      </c>
      <c r="CN133" s="70">
        <v>476</v>
      </c>
      <c r="CO133" s="70">
        <v>454</v>
      </c>
      <c r="CP133" s="70">
        <v>395</v>
      </c>
      <c r="CQ133" s="70">
        <v>388</v>
      </c>
      <c r="CR133" s="70">
        <v>407</v>
      </c>
      <c r="CS133" s="70">
        <v>462</v>
      </c>
      <c r="CT133" s="70">
        <v>600</v>
      </c>
      <c r="CU133" s="70">
        <v>542</v>
      </c>
      <c r="CV133" s="70">
        <v>597</v>
      </c>
      <c r="CW133" s="70">
        <v>510</v>
      </c>
      <c r="CX133" s="70">
        <v>563</v>
      </c>
      <c r="CY133" s="70">
        <v>549</v>
      </c>
      <c r="CZ133" s="70">
        <v>512</v>
      </c>
      <c r="DA133" s="70">
        <v>489</v>
      </c>
      <c r="DB133" s="70">
        <v>429</v>
      </c>
      <c r="DC133" s="70">
        <v>423</v>
      </c>
      <c r="DD133" s="70">
        <v>421</v>
      </c>
      <c r="DE133" s="70">
        <v>492</v>
      </c>
      <c r="DF133" s="70">
        <v>527</v>
      </c>
      <c r="DG133" s="70">
        <v>550</v>
      </c>
      <c r="DH133" s="70">
        <v>646</v>
      </c>
      <c r="DI133" s="70">
        <v>606</v>
      </c>
      <c r="DJ133" s="70">
        <v>548</v>
      </c>
      <c r="DK133" s="70">
        <v>645</v>
      </c>
      <c r="DL133" s="46">
        <v>559</v>
      </c>
      <c r="DM133" s="46">
        <v>544</v>
      </c>
      <c r="DN133" s="46">
        <v>540</v>
      </c>
      <c r="DO133" s="46">
        <v>561</v>
      </c>
      <c r="DP133" s="46">
        <v>515</v>
      </c>
      <c r="DQ133" s="46">
        <v>482</v>
      </c>
      <c r="DR133" s="46">
        <v>571</v>
      </c>
      <c r="DS133" s="46">
        <v>645</v>
      </c>
      <c r="DT133" s="46">
        <v>642</v>
      </c>
      <c r="DU133" s="46">
        <v>596</v>
      </c>
      <c r="DV133" s="46">
        <v>670</v>
      </c>
      <c r="DW133" s="46">
        <v>585</v>
      </c>
      <c r="DX133" s="46">
        <v>565</v>
      </c>
      <c r="DY133" s="46">
        <v>597</v>
      </c>
      <c r="DZ133" s="46">
        <v>552</v>
      </c>
      <c r="EA133" s="46">
        <v>561</v>
      </c>
      <c r="EB133" s="46">
        <v>529</v>
      </c>
      <c r="EC133" s="46">
        <v>525</v>
      </c>
      <c r="ED133" s="46">
        <v>632</v>
      </c>
      <c r="EE133" s="46">
        <v>641</v>
      </c>
      <c r="EF133" s="46">
        <v>713</v>
      </c>
      <c r="EG133" s="46">
        <v>703</v>
      </c>
      <c r="EH133" s="46">
        <v>693</v>
      </c>
      <c r="EI133" s="46">
        <v>702</v>
      </c>
      <c r="EJ133" s="46">
        <v>654</v>
      </c>
      <c r="EK133" s="46">
        <v>607</v>
      </c>
      <c r="EL133" s="46">
        <v>545</v>
      </c>
      <c r="EM133" s="46">
        <v>583</v>
      </c>
      <c r="EN133" s="46">
        <v>513</v>
      </c>
      <c r="EO133" s="46">
        <v>527</v>
      </c>
      <c r="EP133" s="46">
        <v>252</v>
      </c>
      <c r="EQ133" s="46">
        <v>166</v>
      </c>
      <c r="ER133" s="46">
        <v>237</v>
      </c>
      <c r="ES133" s="46">
        <v>153</v>
      </c>
      <c r="ET133" s="46">
        <v>2098</v>
      </c>
      <c r="EU133" s="46">
        <v>1806</v>
      </c>
      <c r="EV133" s="46">
        <v>1623</v>
      </c>
      <c r="EW133" s="46">
        <v>655</v>
      </c>
      <c r="EX133" s="71">
        <v>1606.1971761665998</v>
      </c>
      <c r="EY133" s="71">
        <v>1607.44879879418</v>
      </c>
      <c r="EZ133" s="71">
        <v>1608.7004214217602</v>
      </c>
      <c r="FA133" s="71">
        <v>1609.9520440493402</v>
      </c>
      <c r="FB133" s="71">
        <v>1611.2036666769204</v>
      </c>
      <c r="FC133" s="71">
        <v>1612.4552893045002</v>
      </c>
      <c r="FD133" s="71">
        <v>1613.7069119320804</v>
      </c>
      <c r="FE133" s="71">
        <v>1614.9585345596602</v>
      </c>
      <c r="FF133" s="72">
        <v>219727</v>
      </c>
      <c r="FG133" s="72">
        <v>220241</v>
      </c>
      <c r="FH133" s="476">
        <v>220597</v>
      </c>
      <c r="FI133" s="476">
        <v>222633.42499999999</v>
      </c>
      <c r="FJ133" s="476">
        <v>223973.21</v>
      </c>
      <c r="FK133" s="476">
        <v>225326.08100000001</v>
      </c>
    </row>
    <row r="134" spans="1:167">
      <c r="A134" s="73" t="s">
        <v>954</v>
      </c>
      <c r="B134" s="19" t="s">
        <v>955</v>
      </c>
      <c r="C134" s="74" t="s">
        <v>779</v>
      </c>
      <c r="D134" s="75" t="s">
        <v>453</v>
      </c>
      <c r="E134" s="76">
        <v>175</v>
      </c>
      <c r="F134" s="77">
        <v>165</v>
      </c>
      <c r="G134" s="410">
        <v>165</v>
      </c>
      <c r="H134" s="78">
        <v>24345</v>
      </c>
      <c r="I134" s="77">
        <v>25445</v>
      </c>
      <c r="J134" s="410">
        <v>26391</v>
      </c>
      <c r="K134" s="410">
        <v>27290.926999999996</v>
      </c>
      <c r="L134" s="418">
        <v>28138.809000000001</v>
      </c>
      <c r="M134" s="79">
        <v>723</v>
      </c>
      <c r="N134" s="80">
        <v>652.4</v>
      </c>
      <c r="O134" s="421">
        <v>656.4</v>
      </c>
      <c r="P134" s="71">
        <v>149</v>
      </c>
      <c r="Q134" s="75" t="s">
        <v>453</v>
      </c>
      <c r="R134" s="81">
        <v>80</v>
      </c>
      <c r="S134" s="77">
        <v>70</v>
      </c>
      <c r="T134" s="452">
        <v>60</v>
      </c>
      <c r="U134" s="77">
        <v>110</v>
      </c>
      <c r="V134" s="77">
        <v>135</v>
      </c>
      <c r="W134" s="452">
        <v>95</v>
      </c>
      <c r="X134" s="82">
        <v>74.3</v>
      </c>
      <c r="Y134" s="83">
        <v>53.7</v>
      </c>
      <c r="Z134" s="443">
        <v>64.900000000000006</v>
      </c>
      <c r="AA134" s="63">
        <v>86</v>
      </c>
      <c r="AB134" s="63">
        <v>135</v>
      </c>
      <c r="AC134" s="19" t="s">
        <v>453</v>
      </c>
      <c r="AD134" s="84">
        <v>137</v>
      </c>
      <c r="AE134" s="85">
        <v>104</v>
      </c>
      <c r="AF134" s="85">
        <v>55</v>
      </c>
      <c r="AG134" s="85">
        <v>154</v>
      </c>
      <c r="AH134" s="85">
        <v>149</v>
      </c>
      <c r="AI134" s="85">
        <v>366</v>
      </c>
      <c r="AJ134" s="85">
        <v>201</v>
      </c>
      <c r="AK134" s="85">
        <v>134</v>
      </c>
      <c r="AL134" s="96">
        <v>333</v>
      </c>
      <c r="AM134" s="96">
        <v>270</v>
      </c>
      <c r="AN134" s="96">
        <v>389</v>
      </c>
      <c r="AO134" s="96">
        <v>89</v>
      </c>
      <c r="AP134" s="96">
        <v>139</v>
      </c>
      <c r="AQ134" s="96">
        <v>33</v>
      </c>
      <c r="AR134" s="96">
        <v>125</v>
      </c>
      <c r="AS134" s="96">
        <v>115</v>
      </c>
      <c r="AT134" s="96">
        <v>110</v>
      </c>
      <c r="AU134" s="96">
        <v>92</v>
      </c>
      <c r="AV134" s="96">
        <v>89</v>
      </c>
      <c r="AW134" s="96">
        <v>69</v>
      </c>
      <c r="AX134" s="97">
        <v>46</v>
      </c>
      <c r="AY134" s="97">
        <v>49</v>
      </c>
      <c r="AZ134" s="97">
        <v>79</v>
      </c>
      <c r="BA134" s="97">
        <v>60</v>
      </c>
      <c r="BB134" s="97">
        <v>149</v>
      </c>
      <c r="BC134" s="97">
        <v>186</v>
      </c>
      <c r="BD134" s="87">
        <v>267</v>
      </c>
      <c r="BE134" s="87">
        <v>274</v>
      </c>
      <c r="BF134" s="87">
        <v>214</v>
      </c>
      <c r="BG134" s="87">
        <v>230</v>
      </c>
      <c r="BH134" s="87">
        <v>139</v>
      </c>
      <c r="BI134" s="87">
        <v>202</v>
      </c>
      <c r="BJ134" s="87">
        <v>228</v>
      </c>
      <c r="BK134" s="87">
        <v>95</v>
      </c>
      <c r="BL134" s="87">
        <v>80</v>
      </c>
      <c r="BM134" s="87">
        <v>91</v>
      </c>
      <c r="BN134" s="87">
        <v>155</v>
      </c>
      <c r="BO134" s="87">
        <v>205</v>
      </c>
      <c r="BP134" s="87">
        <v>255</v>
      </c>
      <c r="BQ134" s="87">
        <v>124</v>
      </c>
      <c r="BR134" s="96">
        <v>265</v>
      </c>
      <c r="BS134" s="96">
        <v>248</v>
      </c>
      <c r="BT134" s="96">
        <v>327</v>
      </c>
      <c r="BU134" s="96">
        <v>254</v>
      </c>
      <c r="BV134" s="67">
        <v>403</v>
      </c>
      <c r="BW134" s="67">
        <v>451</v>
      </c>
      <c r="BX134" s="67">
        <v>644</v>
      </c>
      <c r="BY134" s="67">
        <v>829</v>
      </c>
      <c r="BZ134" s="68">
        <v>588.62832980972507</v>
      </c>
      <c r="CA134" s="68">
        <v>599.57991543340381</v>
      </c>
      <c r="CB134" s="68">
        <v>610.53150105708244</v>
      </c>
      <c r="CC134" s="68">
        <v>621.48308668076106</v>
      </c>
      <c r="CD134" s="68">
        <v>632.4346723044398</v>
      </c>
      <c r="CE134" s="68">
        <v>643.38625792811843</v>
      </c>
      <c r="CF134" s="68">
        <v>654.33784355179705</v>
      </c>
      <c r="CG134" s="68">
        <v>665.28942917547568</v>
      </c>
      <c r="CH134" s="87">
        <v>128700</v>
      </c>
      <c r="CI134" s="467">
        <v>129499</v>
      </c>
      <c r="CJ134" s="467">
        <v>130105.55999999994</v>
      </c>
      <c r="CK134" s="467">
        <v>130872.92999999996</v>
      </c>
      <c r="CL134" s="468">
        <v>131523.636</v>
      </c>
      <c r="CM134" s="19" t="s">
        <v>453</v>
      </c>
      <c r="CN134" s="70">
        <v>290</v>
      </c>
      <c r="CO134" s="70">
        <v>268</v>
      </c>
      <c r="CP134" s="70">
        <v>266</v>
      </c>
      <c r="CQ134" s="70">
        <v>247</v>
      </c>
      <c r="CR134" s="70">
        <v>224</v>
      </c>
      <c r="CS134" s="70">
        <v>235</v>
      </c>
      <c r="CT134" s="70">
        <v>294</v>
      </c>
      <c r="CU134" s="70">
        <v>276</v>
      </c>
      <c r="CV134" s="70">
        <v>336</v>
      </c>
      <c r="CW134" s="70">
        <v>245</v>
      </c>
      <c r="CX134" s="70">
        <v>260</v>
      </c>
      <c r="CY134" s="70">
        <v>301</v>
      </c>
      <c r="CZ134" s="70">
        <v>240</v>
      </c>
      <c r="DA134" s="70">
        <v>250</v>
      </c>
      <c r="DB134" s="70">
        <v>245</v>
      </c>
      <c r="DC134" s="70">
        <v>252</v>
      </c>
      <c r="DD134" s="70">
        <v>271</v>
      </c>
      <c r="DE134" s="70">
        <v>280</v>
      </c>
      <c r="DF134" s="70">
        <v>286</v>
      </c>
      <c r="DG134" s="70">
        <v>273</v>
      </c>
      <c r="DH134" s="70">
        <v>406</v>
      </c>
      <c r="DI134" s="70">
        <v>338</v>
      </c>
      <c r="DJ134" s="70">
        <v>277</v>
      </c>
      <c r="DK134" s="70">
        <v>338</v>
      </c>
      <c r="DL134" s="46">
        <v>345</v>
      </c>
      <c r="DM134" s="46">
        <v>271</v>
      </c>
      <c r="DN134" s="46">
        <v>310</v>
      </c>
      <c r="DO134" s="46">
        <v>303</v>
      </c>
      <c r="DP134" s="46">
        <v>268</v>
      </c>
      <c r="DQ134" s="46">
        <v>311</v>
      </c>
      <c r="DR134" s="46">
        <v>321</v>
      </c>
      <c r="DS134" s="46">
        <v>311</v>
      </c>
      <c r="DT134" s="46">
        <v>364</v>
      </c>
      <c r="DU134" s="46">
        <v>354</v>
      </c>
      <c r="DV134" s="46">
        <v>310</v>
      </c>
      <c r="DW134" s="46">
        <v>370</v>
      </c>
      <c r="DX134" s="46">
        <v>292</v>
      </c>
      <c r="DY134" s="46">
        <v>336</v>
      </c>
      <c r="DZ134" s="46">
        <v>299</v>
      </c>
      <c r="EA134" s="46">
        <v>324</v>
      </c>
      <c r="EB134" s="46">
        <v>275</v>
      </c>
      <c r="EC134" s="46">
        <v>268</v>
      </c>
      <c r="ED134" s="46">
        <v>377</v>
      </c>
      <c r="EE134" s="46">
        <v>370</v>
      </c>
      <c r="EF134" s="46">
        <v>380</v>
      </c>
      <c r="EG134" s="46">
        <v>353</v>
      </c>
      <c r="EH134" s="46">
        <v>310</v>
      </c>
      <c r="EI134" s="46">
        <v>379</v>
      </c>
      <c r="EJ134" s="46">
        <v>370</v>
      </c>
      <c r="EK134" s="46">
        <v>343</v>
      </c>
      <c r="EL134" s="46">
        <v>309</v>
      </c>
      <c r="EM134" s="46">
        <v>320</v>
      </c>
      <c r="EN134" s="46">
        <v>269</v>
      </c>
      <c r="EO134" s="46">
        <v>293</v>
      </c>
      <c r="EP134" s="46">
        <v>377</v>
      </c>
      <c r="EQ134" s="46">
        <v>361</v>
      </c>
      <c r="ER134" s="46">
        <v>413</v>
      </c>
      <c r="ES134" s="46">
        <v>339</v>
      </c>
      <c r="ET134" s="46">
        <v>1042</v>
      </c>
      <c r="EU134" s="46">
        <v>1022</v>
      </c>
      <c r="EV134" s="46">
        <v>882</v>
      </c>
      <c r="EW134" s="46">
        <v>1151</v>
      </c>
      <c r="EX134" s="71">
        <v>1092.2448245101357</v>
      </c>
      <c r="EY134" s="71">
        <v>1107.6366544649172</v>
      </c>
      <c r="EZ134" s="71">
        <v>1123.0284844196992</v>
      </c>
      <c r="FA134" s="71">
        <v>1138.420314374481</v>
      </c>
      <c r="FB134" s="71">
        <v>1153.8121443292625</v>
      </c>
      <c r="FC134" s="71">
        <v>1169.2039742840445</v>
      </c>
      <c r="FD134" s="71">
        <v>1184.5958042388263</v>
      </c>
      <c r="FE134" s="71">
        <v>1199.9876341936078</v>
      </c>
      <c r="FF134" s="72">
        <v>166831</v>
      </c>
      <c r="FG134" s="72">
        <v>167682</v>
      </c>
      <c r="FH134" s="476">
        <v>168452</v>
      </c>
      <c r="FI134" s="476">
        <v>168971.054</v>
      </c>
      <c r="FJ134" s="476">
        <v>169644.36199999999</v>
      </c>
      <c r="FK134" s="476">
        <v>170343.416</v>
      </c>
    </row>
    <row r="135" spans="1:167">
      <c r="A135" s="73" t="s">
        <v>946</v>
      </c>
      <c r="B135" s="19" t="s">
        <v>947</v>
      </c>
      <c r="C135" s="74" t="s">
        <v>780</v>
      </c>
      <c r="D135" s="75" t="s">
        <v>456</v>
      </c>
      <c r="E135" s="76">
        <v>115</v>
      </c>
      <c r="F135" s="77">
        <v>180</v>
      </c>
      <c r="G135" s="410">
        <v>135</v>
      </c>
      <c r="H135" s="78">
        <v>20240</v>
      </c>
      <c r="I135" s="77">
        <v>21090</v>
      </c>
      <c r="J135" s="410">
        <v>21815</v>
      </c>
      <c r="K135" s="410">
        <v>22369.222000000002</v>
      </c>
      <c r="L135" s="418">
        <v>22974.648000000001</v>
      </c>
      <c r="M135" s="79">
        <v>558.29999999999995</v>
      </c>
      <c r="N135" s="80">
        <v>858.2</v>
      </c>
      <c r="O135" s="421">
        <v>644.9</v>
      </c>
      <c r="P135" s="71">
        <v>135</v>
      </c>
      <c r="Q135" s="75" t="s">
        <v>456</v>
      </c>
      <c r="R135" s="81">
        <v>80</v>
      </c>
      <c r="S135" s="77">
        <v>75</v>
      </c>
      <c r="T135" s="452">
        <v>135</v>
      </c>
      <c r="U135" s="77">
        <v>85</v>
      </c>
      <c r="V135" s="77">
        <v>85</v>
      </c>
      <c r="W135" s="452">
        <v>150</v>
      </c>
      <c r="X135" s="82">
        <v>92</v>
      </c>
      <c r="Y135" s="83">
        <v>89.3</v>
      </c>
      <c r="Z135" s="443">
        <v>89.9</v>
      </c>
      <c r="AA135" s="63">
        <v>205</v>
      </c>
      <c r="AB135" s="63">
        <v>220</v>
      </c>
      <c r="AC135" s="19" t="s">
        <v>456</v>
      </c>
      <c r="AD135" s="84">
        <v>163</v>
      </c>
      <c r="AE135" s="85">
        <v>217</v>
      </c>
      <c r="AF135" s="85">
        <v>589</v>
      </c>
      <c r="AG135" s="85">
        <v>641</v>
      </c>
      <c r="AH135" s="85">
        <v>651</v>
      </c>
      <c r="AI135" s="85">
        <v>326</v>
      </c>
      <c r="AJ135" s="85">
        <v>302</v>
      </c>
      <c r="AK135" s="85">
        <v>322</v>
      </c>
      <c r="AL135" s="96">
        <v>205</v>
      </c>
      <c r="AM135" s="96">
        <v>126</v>
      </c>
      <c r="AN135" s="96">
        <v>173</v>
      </c>
      <c r="AO135" s="96">
        <v>199</v>
      </c>
      <c r="AP135" s="96">
        <v>285</v>
      </c>
      <c r="AQ135" s="96">
        <v>227</v>
      </c>
      <c r="AR135" s="96">
        <v>152</v>
      </c>
      <c r="AS135" s="96">
        <v>125</v>
      </c>
      <c r="AT135" s="96">
        <v>104</v>
      </c>
      <c r="AU135" s="96">
        <v>111</v>
      </c>
      <c r="AV135" s="96">
        <v>68</v>
      </c>
      <c r="AW135" s="96">
        <v>307</v>
      </c>
      <c r="AX135" s="97">
        <v>388</v>
      </c>
      <c r="AY135" s="97">
        <v>412</v>
      </c>
      <c r="AZ135" s="97">
        <v>218</v>
      </c>
      <c r="BA135" s="97">
        <v>192</v>
      </c>
      <c r="BB135" s="97">
        <v>120</v>
      </c>
      <c r="BC135" s="97">
        <v>197</v>
      </c>
      <c r="BD135" s="87">
        <v>190</v>
      </c>
      <c r="BE135" s="87">
        <v>248</v>
      </c>
      <c r="BF135" s="87">
        <v>276</v>
      </c>
      <c r="BG135" s="87">
        <v>234</v>
      </c>
      <c r="BH135" s="87">
        <v>90</v>
      </c>
      <c r="BI135" s="87">
        <v>170</v>
      </c>
      <c r="BJ135" s="87">
        <v>114</v>
      </c>
      <c r="BK135" s="87">
        <v>271</v>
      </c>
      <c r="BL135" s="87">
        <v>309</v>
      </c>
      <c r="BM135" s="87">
        <v>237</v>
      </c>
      <c r="BN135" s="87">
        <v>277</v>
      </c>
      <c r="BO135" s="87">
        <v>219</v>
      </c>
      <c r="BP135" s="87">
        <v>304</v>
      </c>
      <c r="BQ135" s="87">
        <v>282</v>
      </c>
      <c r="BR135" s="96">
        <v>302</v>
      </c>
      <c r="BS135" s="96">
        <v>184</v>
      </c>
      <c r="BT135" s="96">
        <v>245</v>
      </c>
      <c r="BU135" s="96">
        <v>290</v>
      </c>
      <c r="BV135" s="67">
        <v>694</v>
      </c>
      <c r="BW135" s="67">
        <v>733</v>
      </c>
      <c r="BX135" s="67">
        <v>888</v>
      </c>
      <c r="BY135" s="67">
        <v>719</v>
      </c>
      <c r="BZ135" s="68">
        <v>589.37949260042262</v>
      </c>
      <c r="CA135" s="68">
        <v>568.33509513742047</v>
      </c>
      <c r="CB135" s="68">
        <v>547.29069767441842</v>
      </c>
      <c r="CC135" s="68">
        <v>526.24630021141627</v>
      </c>
      <c r="CD135" s="68">
        <v>505.20190274841411</v>
      </c>
      <c r="CE135" s="68">
        <v>484.15750528541201</v>
      </c>
      <c r="CF135" s="68">
        <v>463.11310782240992</v>
      </c>
      <c r="CG135" s="68">
        <v>442.06871035940776</v>
      </c>
      <c r="CH135" s="87">
        <v>120500</v>
      </c>
      <c r="CI135" s="467">
        <v>121434</v>
      </c>
      <c r="CJ135" s="467">
        <v>122892.50099999999</v>
      </c>
      <c r="CK135" s="467">
        <v>124177.56000000004</v>
      </c>
      <c r="CL135" s="468">
        <v>125377.04899999997</v>
      </c>
      <c r="CM135" s="19" t="s">
        <v>456</v>
      </c>
      <c r="CN135" s="70">
        <v>204</v>
      </c>
      <c r="CO135" s="70">
        <v>167</v>
      </c>
      <c r="CP135" s="70">
        <v>219</v>
      </c>
      <c r="CQ135" s="70">
        <v>202</v>
      </c>
      <c r="CR135" s="70">
        <v>171</v>
      </c>
      <c r="CS135" s="70">
        <v>189</v>
      </c>
      <c r="CT135" s="70">
        <v>211</v>
      </c>
      <c r="CU135" s="70">
        <v>238</v>
      </c>
      <c r="CV135" s="70">
        <v>228</v>
      </c>
      <c r="CW135" s="70">
        <v>189</v>
      </c>
      <c r="CX135" s="70">
        <v>211</v>
      </c>
      <c r="CY135" s="70">
        <v>173</v>
      </c>
      <c r="CZ135" s="70">
        <v>218</v>
      </c>
      <c r="DA135" s="70">
        <v>208</v>
      </c>
      <c r="DB135" s="70">
        <v>179</v>
      </c>
      <c r="DC135" s="70">
        <v>164</v>
      </c>
      <c r="DD135" s="70">
        <v>169</v>
      </c>
      <c r="DE135" s="70">
        <v>145</v>
      </c>
      <c r="DF135" s="70">
        <v>199</v>
      </c>
      <c r="DG135" s="70">
        <v>195</v>
      </c>
      <c r="DH135" s="70">
        <v>229</v>
      </c>
      <c r="DI135" s="70">
        <v>191</v>
      </c>
      <c r="DJ135" s="70">
        <v>158</v>
      </c>
      <c r="DK135" s="70">
        <v>201</v>
      </c>
      <c r="DL135" s="46">
        <v>206</v>
      </c>
      <c r="DM135" s="46">
        <v>185</v>
      </c>
      <c r="DN135" s="46">
        <v>189</v>
      </c>
      <c r="DO135" s="46">
        <v>179</v>
      </c>
      <c r="DP135" s="46">
        <v>145</v>
      </c>
      <c r="DQ135" s="46">
        <v>183</v>
      </c>
      <c r="DR135" s="46">
        <v>172</v>
      </c>
      <c r="DS135" s="46">
        <v>207</v>
      </c>
      <c r="DT135" s="46">
        <v>252</v>
      </c>
      <c r="DU135" s="46">
        <v>223</v>
      </c>
      <c r="DV135" s="46">
        <v>213</v>
      </c>
      <c r="DW135" s="46">
        <v>186</v>
      </c>
      <c r="DX135" s="46">
        <v>226</v>
      </c>
      <c r="DY135" s="46">
        <v>226</v>
      </c>
      <c r="DZ135" s="46">
        <v>178</v>
      </c>
      <c r="EA135" s="46">
        <v>196</v>
      </c>
      <c r="EB135" s="46">
        <v>200</v>
      </c>
      <c r="EC135" s="46">
        <v>184</v>
      </c>
      <c r="ED135" s="46">
        <v>214</v>
      </c>
      <c r="EE135" s="46">
        <v>216</v>
      </c>
      <c r="EF135" s="46">
        <v>224</v>
      </c>
      <c r="EG135" s="46">
        <v>204</v>
      </c>
      <c r="EH135" s="46">
        <v>177</v>
      </c>
      <c r="EI135" s="46">
        <v>197</v>
      </c>
      <c r="EJ135" s="46">
        <v>239</v>
      </c>
      <c r="EK135" s="46">
        <v>203</v>
      </c>
      <c r="EL135" s="46">
        <v>200</v>
      </c>
      <c r="EM135" s="46">
        <v>211</v>
      </c>
      <c r="EN135" s="46">
        <v>192</v>
      </c>
      <c r="EO135" s="46">
        <v>162</v>
      </c>
      <c r="EP135" s="46">
        <v>189</v>
      </c>
      <c r="EQ135" s="46">
        <v>201</v>
      </c>
      <c r="ER135" s="46">
        <v>260</v>
      </c>
      <c r="ES135" s="46">
        <v>172</v>
      </c>
      <c r="ET135" s="46">
        <v>578</v>
      </c>
      <c r="EU135" s="46">
        <v>642</v>
      </c>
      <c r="EV135" s="46">
        <v>565</v>
      </c>
      <c r="EW135" s="46">
        <v>650</v>
      </c>
      <c r="EX135" s="71">
        <v>610.31040634901092</v>
      </c>
      <c r="EY135" s="71">
        <v>611.88760035682412</v>
      </c>
      <c r="EZ135" s="71">
        <v>613.46479436463744</v>
      </c>
      <c r="FA135" s="71">
        <v>615.04198837245065</v>
      </c>
      <c r="FB135" s="71">
        <v>616.61918238026385</v>
      </c>
      <c r="FC135" s="71">
        <v>618.19637638807706</v>
      </c>
      <c r="FD135" s="71">
        <v>619.77357039589026</v>
      </c>
      <c r="FE135" s="71">
        <v>621.35076440370358</v>
      </c>
      <c r="FF135" s="72">
        <v>158268</v>
      </c>
      <c r="FG135" s="72">
        <v>159533</v>
      </c>
      <c r="FH135" s="476">
        <v>160849</v>
      </c>
      <c r="FI135" s="476">
        <v>162633.80600000001</v>
      </c>
      <c r="FJ135" s="476">
        <v>164265.465</v>
      </c>
      <c r="FK135" s="476">
        <v>165975.10999999999</v>
      </c>
    </row>
    <row r="136" spans="1:167">
      <c r="A136" s="73" t="s">
        <v>933</v>
      </c>
      <c r="B136" s="19" t="s">
        <v>934</v>
      </c>
      <c r="C136" s="74" t="s">
        <v>781</v>
      </c>
      <c r="D136" s="75" t="s">
        <v>459</v>
      </c>
      <c r="E136" s="76">
        <v>135</v>
      </c>
      <c r="F136" s="77">
        <v>230</v>
      </c>
      <c r="G136" s="410">
        <v>205</v>
      </c>
      <c r="H136" s="78">
        <v>31150</v>
      </c>
      <c r="I136" s="77">
        <v>32295</v>
      </c>
      <c r="J136" s="410">
        <v>33054</v>
      </c>
      <c r="K136" s="410">
        <v>33804.046999999999</v>
      </c>
      <c r="L136" s="418">
        <v>34404.275000000001</v>
      </c>
      <c r="M136" s="79">
        <v>436.6</v>
      </c>
      <c r="N136" s="80">
        <v>718.4</v>
      </c>
      <c r="O136" s="421">
        <v>628.6</v>
      </c>
      <c r="P136" s="71">
        <v>230</v>
      </c>
      <c r="Q136" s="75" t="s">
        <v>459</v>
      </c>
      <c r="R136" s="81">
        <v>145</v>
      </c>
      <c r="S136" s="77">
        <v>125</v>
      </c>
      <c r="T136" s="452">
        <v>110</v>
      </c>
      <c r="U136" s="77">
        <v>175</v>
      </c>
      <c r="V136" s="77">
        <v>155</v>
      </c>
      <c r="W136" s="452">
        <v>135</v>
      </c>
      <c r="X136" s="82">
        <v>82.3</v>
      </c>
      <c r="Y136" s="83">
        <v>81.3</v>
      </c>
      <c r="Z136" s="443">
        <v>81.5</v>
      </c>
      <c r="AA136" s="63">
        <v>221</v>
      </c>
      <c r="AB136" s="63">
        <v>295</v>
      </c>
      <c r="AC136" s="19" t="s">
        <v>459</v>
      </c>
      <c r="AD136" s="84">
        <v>0</v>
      </c>
      <c r="AE136" s="85">
        <v>111</v>
      </c>
      <c r="AF136" s="85">
        <v>26</v>
      </c>
      <c r="AG136" s="85">
        <v>7</v>
      </c>
      <c r="AH136" s="85">
        <v>11</v>
      </c>
      <c r="AI136" s="85">
        <v>40</v>
      </c>
      <c r="AJ136" s="85">
        <v>13</v>
      </c>
      <c r="AK136" s="85">
        <v>27</v>
      </c>
      <c r="AL136" s="96">
        <v>87</v>
      </c>
      <c r="AM136" s="96">
        <v>32</v>
      </c>
      <c r="AN136" s="96">
        <v>79</v>
      </c>
      <c r="AO136" s="96">
        <v>14</v>
      </c>
      <c r="AP136" s="96">
        <v>46</v>
      </c>
      <c r="AQ136" s="96">
        <v>12</v>
      </c>
      <c r="AR136" s="96">
        <v>54</v>
      </c>
      <c r="AS136" s="96">
        <v>60</v>
      </c>
      <c r="AT136" s="96">
        <v>31</v>
      </c>
      <c r="AU136" s="96">
        <v>14</v>
      </c>
      <c r="AV136" s="96">
        <v>29</v>
      </c>
      <c r="AW136" s="96">
        <v>61</v>
      </c>
      <c r="AX136" s="97">
        <v>39</v>
      </c>
      <c r="AY136" s="97">
        <v>82</v>
      </c>
      <c r="AZ136" s="97">
        <v>63</v>
      </c>
      <c r="BA136" s="97">
        <v>59</v>
      </c>
      <c r="BB136" s="97">
        <v>128</v>
      </c>
      <c r="BC136" s="97">
        <v>138</v>
      </c>
      <c r="BD136" s="87">
        <v>69</v>
      </c>
      <c r="BE136" s="87">
        <v>56</v>
      </c>
      <c r="BF136" s="87">
        <v>90</v>
      </c>
      <c r="BG136" s="87">
        <v>146</v>
      </c>
      <c r="BH136" s="87">
        <v>128</v>
      </c>
      <c r="BI136" s="87">
        <v>97</v>
      </c>
      <c r="BJ136" s="87">
        <v>109</v>
      </c>
      <c r="BK136" s="87">
        <v>84</v>
      </c>
      <c r="BL136" s="87">
        <v>62</v>
      </c>
      <c r="BM136" s="87">
        <v>153</v>
      </c>
      <c r="BN136" s="87">
        <v>154</v>
      </c>
      <c r="BO136" s="87">
        <v>78</v>
      </c>
      <c r="BP136" s="87">
        <v>124</v>
      </c>
      <c r="BQ136" s="87">
        <v>35</v>
      </c>
      <c r="BR136" s="96">
        <v>99</v>
      </c>
      <c r="BS136" s="96">
        <v>133</v>
      </c>
      <c r="BT136" s="96">
        <v>74</v>
      </c>
      <c r="BU136" s="96">
        <v>169</v>
      </c>
      <c r="BV136" s="67">
        <v>255</v>
      </c>
      <c r="BW136" s="67">
        <v>385</v>
      </c>
      <c r="BX136" s="67">
        <v>258</v>
      </c>
      <c r="BY136" s="67">
        <v>376</v>
      </c>
      <c r="BZ136" s="68">
        <v>381.35179704016912</v>
      </c>
      <c r="CA136" s="68">
        <v>402.85221987315015</v>
      </c>
      <c r="CB136" s="68">
        <v>424.35264270613112</v>
      </c>
      <c r="CC136" s="68">
        <v>445.85306553911209</v>
      </c>
      <c r="CD136" s="68">
        <v>467.35348837209307</v>
      </c>
      <c r="CE136" s="68">
        <v>488.85391120507404</v>
      </c>
      <c r="CF136" s="68">
        <v>510.35433403805501</v>
      </c>
      <c r="CG136" s="68">
        <v>531.85475687103599</v>
      </c>
      <c r="CH136" s="87">
        <v>106600</v>
      </c>
      <c r="CI136" s="467">
        <v>107155</v>
      </c>
      <c r="CJ136" s="467">
        <v>107447.61799999999</v>
      </c>
      <c r="CK136" s="467">
        <v>107902.75200000001</v>
      </c>
      <c r="CL136" s="468">
        <v>108396.17299999997</v>
      </c>
      <c r="CM136" s="19" t="s">
        <v>459</v>
      </c>
      <c r="CN136" s="70">
        <v>273</v>
      </c>
      <c r="CO136" s="70">
        <v>224</v>
      </c>
      <c r="CP136" s="70">
        <v>214</v>
      </c>
      <c r="CQ136" s="70">
        <v>213</v>
      </c>
      <c r="CR136" s="70">
        <v>226</v>
      </c>
      <c r="CS136" s="70">
        <v>246</v>
      </c>
      <c r="CT136" s="70">
        <v>226</v>
      </c>
      <c r="CU136" s="70">
        <v>217</v>
      </c>
      <c r="CV136" s="70">
        <v>268</v>
      </c>
      <c r="CW136" s="70">
        <v>259</v>
      </c>
      <c r="CX136" s="70">
        <v>247</v>
      </c>
      <c r="CY136" s="70">
        <v>266</v>
      </c>
      <c r="CZ136" s="70">
        <v>246</v>
      </c>
      <c r="DA136" s="70">
        <v>262</v>
      </c>
      <c r="DB136" s="70">
        <v>244</v>
      </c>
      <c r="DC136" s="70">
        <v>233</v>
      </c>
      <c r="DD136" s="70">
        <v>224</v>
      </c>
      <c r="DE136" s="70">
        <v>236</v>
      </c>
      <c r="DF136" s="70">
        <v>263</v>
      </c>
      <c r="DG136" s="70">
        <v>256</v>
      </c>
      <c r="DH136" s="70">
        <v>312</v>
      </c>
      <c r="DI136" s="70">
        <v>262</v>
      </c>
      <c r="DJ136" s="70">
        <v>221</v>
      </c>
      <c r="DK136" s="70">
        <v>234</v>
      </c>
      <c r="DL136" s="46">
        <v>240</v>
      </c>
      <c r="DM136" s="46">
        <v>236</v>
      </c>
      <c r="DN136" s="46">
        <v>237</v>
      </c>
      <c r="DO136" s="46">
        <v>231</v>
      </c>
      <c r="DP136" s="46">
        <v>256</v>
      </c>
      <c r="DQ136" s="46">
        <v>221</v>
      </c>
      <c r="DR136" s="46">
        <v>246</v>
      </c>
      <c r="DS136" s="46">
        <v>253</v>
      </c>
      <c r="DT136" s="46">
        <v>182</v>
      </c>
      <c r="DU136" s="46">
        <v>174</v>
      </c>
      <c r="DV136" s="46">
        <v>156</v>
      </c>
      <c r="DW136" s="46">
        <v>256</v>
      </c>
      <c r="DX136" s="46">
        <v>270</v>
      </c>
      <c r="DY136" s="46">
        <v>276</v>
      </c>
      <c r="DZ136" s="46">
        <v>289</v>
      </c>
      <c r="EA136" s="46">
        <v>263</v>
      </c>
      <c r="EB136" s="46">
        <v>262</v>
      </c>
      <c r="EC136" s="46">
        <v>250</v>
      </c>
      <c r="ED136" s="46">
        <v>273</v>
      </c>
      <c r="EE136" s="46">
        <v>275</v>
      </c>
      <c r="EF136" s="46">
        <v>305</v>
      </c>
      <c r="EG136" s="46">
        <v>319</v>
      </c>
      <c r="EH136" s="46">
        <v>279</v>
      </c>
      <c r="EI136" s="46">
        <v>282</v>
      </c>
      <c r="EJ136" s="46">
        <v>273</v>
      </c>
      <c r="EK136" s="46">
        <v>273</v>
      </c>
      <c r="EL136" s="46">
        <v>250</v>
      </c>
      <c r="EM136" s="46">
        <v>286</v>
      </c>
      <c r="EN136" s="46">
        <v>232</v>
      </c>
      <c r="EO136" s="46">
        <v>285</v>
      </c>
      <c r="EP136" s="46">
        <v>249</v>
      </c>
      <c r="EQ136" s="46">
        <v>275</v>
      </c>
      <c r="ER136" s="46">
        <v>334</v>
      </c>
      <c r="ES136" s="46">
        <v>253</v>
      </c>
      <c r="ET136" s="46">
        <v>880</v>
      </c>
      <c r="EU136" s="46">
        <v>796</v>
      </c>
      <c r="EV136" s="46">
        <v>803</v>
      </c>
      <c r="EW136" s="46">
        <v>858</v>
      </c>
      <c r="EX136" s="71">
        <v>829.77735396351773</v>
      </c>
      <c r="EY136" s="71">
        <v>836.60189485988485</v>
      </c>
      <c r="EZ136" s="71">
        <v>843.4264357562522</v>
      </c>
      <c r="FA136" s="71">
        <v>850.25097665261933</v>
      </c>
      <c r="FB136" s="71">
        <v>857.07551754898645</v>
      </c>
      <c r="FC136" s="71">
        <v>863.90005844535358</v>
      </c>
      <c r="FD136" s="71">
        <v>870.72459934172082</v>
      </c>
      <c r="FE136" s="71">
        <v>877.54914023808794</v>
      </c>
      <c r="FF136" s="72">
        <v>131193</v>
      </c>
      <c r="FG136" s="72">
        <v>131492</v>
      </c>
      <c r="FH136" s="476">
        <v>132075</v>
      </c>
      <c r="FI136" s="476">
        <v>132208.89199999999</v>
      </c>
      <c r="FJ136" s="476">
        <v>132663.44</v>
      </c>
      <c r="FK136" s="476">
        <v>133174.84700000001</v>
      </c>
    </row>
    <row r="137" spans="1:167">
      <c r="A137" s="73" t="s">
        <v>899</v>
      </c>
      <c r="B137" s="19" t="s">
        <v>900</v>
      </c>
      <c r="C137" s="74" t="s">
        <v>782</v>
      </c>
      <c r="D137" s="75" t="s">
        <v>462</v>
      </c>
      <c r="E137" s="76">
        <v>135</v>
      </c>
      <c r="F137" s="77">
        <v>105</v>
      </c>
      <c r="G137" s="410">
        <v>105</v>
      </c>
      <c r="H137" s="78">
        <v>15605</v>
      </c>
      <c r="I137" s="77">
        <v>16040</v>
      </c>
      <c r="J137" s="410">
        <v>16610</v>
      </c>
      <c r="K137" s="410">
        <v>16243.984</v>
      </c>
      <c r="L137" s="418">
        <v>16437.518</v>
      </c>
      <c r="M137" s="79">
        <v>877.8</v>
      </c>
      <c r="N137" s="80">
        <v>654.70000000000005</v>
      </c>
      <c r="O137" s="421">
        <v>667.2</v>
      </c>
      <c r="P137" s="71">
        <v>94</v>
      </c>
      <c r="Q137" s="75" t="s">
        <v>462</v>
      </c>
      <c r="R137" s="81">
        <v>105</v>
      </c>
      <c r="S137" s="77">
        <v>65</v>
      </c>
      <c r="T137" s="452">
        <v>75</v>
      </c>
      <c r="U137" s="77">
        <v>120</v>
      </c>
      <c r="V137" s="77">
        <v>75</v>
      </c>
      <c r="W137" s="452">
        <v>90</v>
      </c>
      <c r="X137" s="82">
        <v>86.6</v>
      </c>
      <c r="Y137" s="83">
        <v>81.8</v>
      </c>
      <c r="Z137" s="443">
        <v>80.400000000000006</v>
      </c>
      <c r="AA137" s="63">
        <v>68</v>
      </c>
      <c r="AB137" s="63">
        <v>75</v>
      </c>
      <c r="AC137" s="19" t="s">
        <v>462</v>
      </c>
      <c r="AD137" s="84">
        <v>228</v>
      </c>
      <c r="AE137" s="85">
        <v>221</v>
      </c>
      <c r="AF137" s="85">
        <v>414</v>
      </c>
      <c r="AG137" s="85">
        <v>342</v>
      </c>
      <c r="AH137" s="85">
        <v>438</v>
      </c>
      <c r="AI137" s="85">
        <v>409</v>
      </c>
      <c r="AJ137" s="85">
        <v>414</v>
      </c>
      <c r="AK137" s="85">
        <v>615</v>
      </c>
      <c r="AL137" s="96">
        <v>299</v>
      </c>
      <c r="AM137" s="96">
        <v>626</v>
      </c>
      <c r="AN137" s="96">
        <v>665</v>
      </c>
      <c r="AO137" s="96">
        <v>671</v>
      </c>
      <c r="AP137" s="96">
        <v>717</v>
      </c>
      <c r="AQ137" s="96">
        <v>725</v>
      </c>
      <c r="AR137" s="96">
        <v>469</v>
      </c>
      <c r="AS137" s="96">
        <v>439</v>
      </c>
      <c r="AT137" s="96">
        <v>659</v>
      </c>
      <c r="AU137" s="96">
        <v>703</v>
      </c>
      <c r="AV137" s="96">
        <v>685</v>
      </c>
      <c r="AW137" s="96">
        <v>663</v>
      </c>
      <c r="AX137" s="97">
        <v>490</v>
      </c>
      <c r="AY137" s="97">
        <v>580</v>
      </c>
      <c r="AZ137" s="97">
        <v>450</v>
      </c>
      <c r="BA137" s="97">
        <v>416</v>
      </c>
      <c r="BB137" s="97">
        <v>506</v>
      </c>
      <c r="BC137" s="97">
        <v>203</v>
      </c>
      <c r="BD137" s="87">
        <v>324</v>
      </c>
      <c r="BE137" s="87">
        <v>337</v>
      </c>
      <c r="BF137" s="87">
        <v>225</v>
      </c>
      <c r="BG137" s="87">
        <v>258</v>
      </c>
      <c r="BH137" s="87">
        <v>225</v>
      </c>
      <c r="BI137" s="87">
        <v>162</v>
      </c>
      <c r="BJ137" s="87">
        <v>383</v>
      </c>
      <c r="BK137" s="87">
        <v>417</v>
      </c>
      <c r="BL137" s="87">
        <v>978</v>
      </c>
      <c r="BM137" s="87">
        <v>621</v>
      </c>
      <c r="BN137" s="87">
        <v>431</v>
      </c>
      <c r="BO137" s="87">
        <v>293</v>
      </c>
      <c r="BP137" s="87">
        <v>239</v>
      </c>
      <c r="BQ137" s="87">
        <v>314</v>
      </c>
      <c r="BR137" s="96">
        <v>224</v>
      </c>
      <c r="BS137" s="96">
        <v>7</v>
      </c>
      <c r="BT137" s="96">
        <v>122</v>
      </c>
      <c r="BU137" s="96">
        <v>43</v>
      </c>
      <c r="BV137" s="67">
        <v>1778</v>
      </c>
      <c r="BW137" s="67">
        <v>1345</v>
      </c>
      <c r="BX137" s="67">
        <v>777</v>
      </c>
      <c r="BY137" s="67">
        <v>172</v>
      </c>
      <c r="BZ137" s="68">
        <v>864.17145877378437</v>
      </c>
      <c r="CA137" s="68">
        <v>812.16046511627906</v>
      </c>
      <c r="CB137" s="68">
        <v>760.14947145877375</v>
      </c>
      <c r="CC137" s="68">
        <v>708.13847780126866</v>
      </c>
      <c r="CD137" s="68">
        <v>656.12748414376324</v>
      </c>
      <c r="CE137" s="68">
        <v>604.11649048625804</v>
      </c>
      <c r="CF137" s="68">
        <v>552.10549682875262</v>
      </c>
      <c r="CG137" s="68">
        <v>500.09450317124737</v>
      </c>
      <c r="CH137" s="87">
        <v>205300</v>
      </c>
      <c r="CI137" s="467">
        <v>212378</v>
      </c>
      <c r="CJ137" s="467">
        <v>216027.87199999983</v>
      </c>
      <c r="CK137" s="467">
        <v>221042.45899999989</v>
      </c>
      <c r="CL137" s="468">
        <v>225990.0590000001</v>
      </c>
      <c r="CM137" s="19" t="s">
        <v>462</v>
      </c>
      <c r="CN137" s="70">
        <v>66</v>
      </c>
      <c r="CO137" s="70">
        <v>67</v>
      </c>
      <c r="CP137" s="70">
        <v>88</v>
      </c>
      <c r="CQ137" s="70">
        <v>89</v>
      </c>
      <c r="CR137" s="70">
        <v>74</v>
      </c>
      <c r="CS137" s="70">
        <v>64</v>
      </c>
      <c r="CT137" s="70">
        <v>84</v>
      </c>
      <c r="CU137" s="70">
        <v>52</v>
      </c>
      <c r="CV137" s="70">
        <v>90</v>
      </c>
      <c r="CW137" s="70">
        <v>76</v>
      </c>
      <c r="CX137" s="70">
        <v>62</v>
      </c>
      <c r="CY137" s="70">
        <v>78</v>
      </c>
      <c r="CZ137" s="70">
        <v>95</v>
      </c>
      <c r="DA137" s="70">
        <v>85</v>
      </c>
      <c r="DB137" s="70">
        <v>75</v>
      </c>
      <c r="DC137" s="70">
        <v>87</v>
      </c>
      <c r="DD137" s="70">
        <v>61</v>
      </c>
      <c r="DE137" s="70">
        <v>68</v>
      </c>
      <c r="DF137" s="70">
        <v>86</v>
      </c>
      <c r="DG137" s="70">
        <v>102</v>
      </c>
      <c r="DH137" s="70">
        <v>116</v>
      </c>
      <c r="DI137" s="70">
        <v>86</v>
      </c>
      <c r="DJ137" s="70">
        <v>113</v>
      </c>
      <c r="DK137" s="70">
        <v>93</v>
      </c>
      <c r="DL137" s="46">
        <v>94</v>
      </c>
      <c r="DM137" s="46">
        <v>67</v>
      </c>
      <c r="DN137" s="46">
        <v>97</v>
      </c>
      <c r="DO137" s="46">
        <v>90</v>
      </c>
      <c r="DP137" s="46">
        <v>81</v>
      </c>
      <c r="DQ137" s="46">
        <v>95</v>
      </c>
      <c r="DR137" s="46">
        <v>96</v>
      </c>
      <c r="DS137" s="46">
        <v>69</v>
      </c>
      <c r="DT137" s="46">
        <v>147</v>
      </c>
      <c r="DU137" s="46">
        <v>97</v>
      </c>
      <c r="DV137" s="46">
        <v>114</v>
      </c>
      <c r="DW137" s="46">
        <v>136</v>
      </c>
      <c r="DX137" s="46">
        <v>133</v>
      </c>
      <c r="DY137" s="46">
        <v>116</v>
      </c>
      <c r="DZ137" s="46">
        <v>125</v>
      </c>
      <c r="EA137" s="46">
        <v>153</v>
      </c>
      <c r="EB137" s="46">
        <v>141</v>
      </c>
      <c r="EC137" s="46">
        <v>128</v>
      </c>
      <c r="ED137" s="46">
        <v>178</v>
      </c>
      <c r="EE137" s="46">
        <v>166</v>
      </c>
      <c r="EF137" s="46">
        <v>192</v>
      </c>
      <c r="EG137" s="46">
        <v>188</v>
      </c>
      <c r="EH137" s="46">
        <v>182</v>
      </c>
      <c r="EI137" s="46">
        <v>138</v>
      </c>
      <c r="EJ137" s="46">
        <v>129</v>
      </c>
      <c r="EK137" s="46">
        <v>133</v>
      </c>
      <c r="EL137" s="46">
        <v>94</v>
      </c>
      <c r="EM137" s="46">
        <v>125</v>
      </c>
      <c r="EN137" s="46">
        <v>129</v>
      </c>
      <c r="EO137" s="46">
        <v>108</v>
      </c>
      <c r="EP137" s="46">
        <v>124</v>
      </c>
      <c r="EQ137" s="46">
        <v>123</v>
      </c>
      <c r="ER137" s="46">
        <v>112</v>
      </c>
      <c r="ES137" s="46">
        <v>103</v>
      </c>
      <c r="ET137" s="46">
        <v>508</v>
      </c>
      <c r="EU137" s="46">
        <v>356</v>
      </c>
      <c r="EV137" s="46">
        <v>362</v>
      </c>
      <c r="EW137" s="46">
        <v>359</v>
      </c>
      <c r="EX137" s="71">
        <v>454.39908948291247</v>
      </c>
      <c r="EY137" s="71">
        <v>466.93248023624233</v>
      </c>
      <c r="EZ137" s="71">
        <v>479.46587098957207</v>
      </c>
      <c r="FA137" s="71">
        <v>491.99926174290192</v>
      </c>
      <c r="FB137" s="71">
        <v>504.53265249623178</v>
      </c>
      <c r="FC137" s="71">
        <v>517.06604324956163</v>
      </c>
      <c r="FD137" s="71">
        <v>529.59943400289148</v>
      </c>
      <c r="FE137" s="71">
        <v>542.13282475622134</v>
      </c>
      <c r="FF137" s="72">
        <v>256012</v>
      </c>
      <c r="FG137" s="72">
        <v>263003</v>
      </c>
      <c r="FH137" s="476">
        <v>272890</v>
      </c>
      <c r="FI137" s="476">
        <v>276402.10800000001</v>
      </c>
      <c r="FJ137" s="476">
        <v>282713.56199999998</v>
      </c>
      <c r="FK137" s="476">
        <v>289176.19500000001</v>
      </c>
    </row>
    <row r="138" spans="1:167">
      <c r="A138" s="73" t="s">
        <v>913</v>
      </c>
      <c r="B138" s="19" t="s">
        <v>914</v>
      </c>
      <c r="C138" s="74" t="s">
        <v>783</v>
      </c>
      <c r="D138" s="75" t="s">
        <v>465</v>
      </c>
      <c r="E138" s="76">
        <v>285</v>
      </c>
      <c r="F138" s="77">
        <v>255</v>
      </c>
      <c r="G138" s="410">
        <v>260</v>
      </c>
      <c r="H138" s="78">
        <v>36465</v>
      </c>
      <c r="I138" s="77">
        <v>37520</v>
      </c>
      <c r="J138" s="410">
        <v>38449</v>
      </c>
      <c r="K138" s="410">
        <v>39007.364999999998</v>
      </c>
      <c r="L138" s="418">
        <v>39714.175999999999</v>
      </c>
      <c r="M138" s="79">
        <v>781.5</v>
      </c>
      <c r="N138" s="80">
        <v>685</v>
      </c>
      <c r="O138" s="421">
        <v>698.3</v>
      </c>
      <c r="P138" s="71">
        <v>260</v>
      </c>
      <c r="Q138" s="75" t="s">
        <v>465</v>
      </c>
      <c r="R138" s="81">
        <v>135</v>
      </c>
      <c r="S138" s="77">
        <v>120</v>
      </c>
      <c r="T138" s="452">
        <v>170</v>
      </c>
      <c r="U138" s="77">
        <v>195</v>
      </c>
      <c r="V138" s="77">
        <v>160</v>
      </c>
      <c r="W138" s="452">
        <v>200</v>
      </c>
      <c r="X138" s="82">
        <v>68.599999999999994</v>
      </c>
      <c r="Y138" s="83">
        <v>75.900000000000006</v>
      </c>
      <c r="Z138" s="443">
        <v>85.5</v>
      </c>
      <c r="AA138" s="63">
        <v>137</v>
      </c>
      <c r="AB138" s="63">
        <v>175</v>
      </c>
      <c r="AC138" s="19" t="s">
        <v>465</v>
      </c>
      <c r="AD138" s="84">
        <v>517</v>
      </c>
      <c r="AE138" s="85">
        <v>715</v>
      </c>
      <c r="AF138" s="85">
        <v>549</v>
      </c>
      <c r="AG138" s="85">
        <v>583</v>
      </c>
      <c r="AH138" s="85">
        <v>534</v>
      </c>
      <c r="AI138" s="85">
        <v>653</v>
      </c>
      <c r="AJ138" s="85">
        <v>719</v>
      </c>
      <c r="AK138" s="85">
        <v>808</v>
      </c>
      <c r="AL138" s="96">
        <v>643</v>
      </c>
      <c r="AM138" s="96">
        <v>533</v>
      </c>
      <c r="AN138" s="96">
        <v>571</v>
      </c>
      <c r="AO138" s="96">
        <v>586</v>
      </c>
      <c r="AP138" s="96">
        <v>374</v>
      </c>
      <c r="AQ138" s="96">
        <v>561</v>
      </c>
      <c r="AR138" s="96">
        <v>480</v>
      </c>
      <c r="AS138" s="96">
        <v>518</v>
      </c>
      <c r="AT138" s="96">
        <v>328</v>
      </c>
      <c r="AU138" s="96">
        <v>418</v>
      </c>
      <c r="AV138" s="96">
        <v>551</v>
      </c>
      <c r="AW138" s="96">
        <v>439</v>
      </c>
      <c r="AX138" s="97">
        <v>323</v>
      </c>
      <c r="AY138" s="97">
        <v>292</v>
      </c>
      <c r="AZ138" s="97">
        <v>247</v>
      </c>
      <c r="BA138" s="97">
        <v>288</v>
      </c>
      <c r="BB138" s="97">
        <v>474</v>
      </c>
      <c r="BC138" s="97">
        <v>413</v>
      </c>
      <c r="BD138" s="87">
        <v>496</v>
      </c>
      <c r="BE138" s="87">
        <v>409</v>
      </c>
      <c r="BF138" s="87">
        <v>373</v>
      </c>
      <c r="BG138" s="87">
        <v>430</v>
      </c>
      <c r="BH138" s="87">
        <v>400</v>
      </c>
      <c r="BI138" s="87">
        <v>421</v>
      </c>
      <c r="BJ138" s="87">
        <v>299</v>
      </c>
      <c r="BK138" s="87">
        <v>327</v>
      </c>
      <c r="BL138" s="87">
        <v>211</v>
      </c>
      <c r="BM138" s="87">
        <v>257</v>
      </c>
      <c r="BN138" s="87">
        <v>347</v>
      </c>
      <c r="BO138" s="87">
        <v>313</v>
      </c>
      <c r="BP138" s="87">
        <v>380</v>
      </c>
      <c r="BQ138" s="87">
        <v>366</v>
      </c>
      <c r="BR138" s="96">
        <v>484</v>
      </c>
      <c r="BS138" s="96">
        <v>713</v>
      </c>
      <c r="BT138" s="96">
        <v>599</v>
      </c>
      <c r="BU138" s="96">
        <v>729</v>
      </c>
      <c r="BV138" s="67">
        <v>837</v>
      </c>
      <c r="BW138" s="67">
        <v>917</v>
      </c>
      <c r="BX138" s="67">
        <v>1230</v>
      </c>
      <c r="BY138" s="67">
        <v>2041</v>
      </c>
      <c r="BZ138" s="68">
        <v>1073.087949260042</v>
      </c>
      <c r="CA138" s="68">
        <v>1030.1562367864692</v>
      </c>
      <c r="CB138" s="68">
        <v>987.22452431289639</v>
      </c>
      <c r="CC138" s="68">
        <v>944.29281183932335</v>
      </c>
      <c r="CD138" s="68">
        <v>901.36109936575053</v>
      </c>
      <c r="CE138" s="68">
        <v>858.42938689217749</v>
      </c>
      <c r="CF138" s="68">
        <v>815.49767441860456</v>
      </c>
      <c r="CG138" s="68">
        <v>772.56596194503163</v>
      </c>
      <c r="CH138" s="87">
        <v>176200</v>
      </c>
      <c r="CI138" s="467">
        <v>177254</v>
      </c>
      <c r="CJ138" s="467">
        <v>178061.36799999996</v>
      </c>
      <c r="CK138" s="467">
        <v>179203.291</v>
      </c>
      <c r="CL138" s="468">
        <v>180371.489</v>
      </c>
      <c r="CM138" s="19" t="s">
        <v>465</v>
      </c>
      <c r="CN138" s="70">
        <v>337</v>
      </c>
      <c r="CO138" s="70">
        <v>292</v>
      </c>
      <c r="CP138" s="70">
        <v>303</v>
      </c>
      <c r="CQ138" s="70">
        <v>325</v>
      </c>
      <c r="CR138" s="70">
        <v>345</v>
      </c>
      <c r="CS138" s="70">
        <v>357</v>
      </c>
      <c r="CT138" s="70">
        <v>387</v>
      </c>
      <c r="CU138" s="70">
        <v>413</v>
      </c>
      <c r="CV138" s="70">
        <v>388</v>
      </c>
      <c r="CW138" s="70">
        <v>383</v>
      </c>
      <c r="CX138" s="70">
        <v>357</v>
      </c>
      <c r="CY138" s="70">
        <v>370</v>
      </c>
      <c r="CZ138" s="70">
        <v>394</v>
      </c>
      <c r="DA138" s="70">
        <v>349</v>
      </c>
      <c r="DB138" s="70">
        <v>357</v>
      </c>
      <c r="DC138" s="70">
        <v>357</v>
      </c>
      <c r="DD138" s="70">
        <v>322</v>
      </c>
      <c r="DE138" s="70">
        <v>363</v>
      </c>
      <c r="DF138" s="70">
        <v>372</v>
      </c>
      <c r="DG138" s="70">
        <v>428</v>
      </c>
      <c r="DH138" s="70">
        <v>534</v>
      </c>
      <c r="DI138" s="70">
        <v>439</v>
      </c>
      <c r="DJ138" s="70">
        <v>425</v>
      </c>
      <c r="DK138" s="70">
        <v>412</v>
      </c>
      <c r="DL138" s="46">
        <v>396</v>
      </c>
      <c r="DM138" s="46">
        <v>343</v>
      </c>
      <c r="DN138" s="46">
        <v>359</v>
      </c>
      <c r="DO138" s="46">
        <v>407</v>
      </c>
      <c r="DP138" s="46">
        <v>351</v>
      </c>
      <c r="DQ138" s="46">
        <v>368</v>
      </c>
      <c r="DR138" s="46">
        <v>408</v>
      </c>
      <c r="DS138" s="46">
        <v>415</v>
      </c>
      <c r="DT138" s="46">
        <v>477</v>
      </c>
      <c r="DU138" s="46">
        <v>409</v>
      </c>
      <c r="DV138" s="46">
        <v>391</v>
      </c>
      <c r="DW138" s="46">
        <v>410</v>
      </c>
      <c r="DX138" s="46">
        <v>395</v>
      </c>
      <c r="DY138" s="46">
        <v>454</v>
      </c>
      <c r="DZ138" s="46">
        <v>441</v>
      </c>
      <c r="EA138" s="46">
        <v>437</v>
      </c>
      <c r="EB138" s="46">
        <v>397</v>
      </c>
      <c r="EC138" s="46">
        <v>401</v>
      </c>
      <c r="ED138" s="46">
        <v>468</v>
      </c>
      <c r="EE138" s="46">
        <v>464</v>
      </c>
      <c r="EF138" s="46">
        <v>495</v>
      </c>
      <c r="EG138" s="46">
        <v>472</v>
      </c>
      <c r="EH138" s="46">
        <v>454</v>
      </c>
      <c r="EI138" s="46">
        <v>446</v>
      </c>
      <c r="EJ138" s="46">
        <v>493</v>
      </c>
      <c r="EK138" s="46">
        <v>397</v>
      </c>
      <c r="EL138" s="46">
        <v>398</v>
      </c>
      <c r="EM138" s="46">
        <v>417</v>
      </c>
      <c r="EN138" s="46">
        <v>406</v>
      </c>
      <c r="EO138" s="46">
        <v>448</v>
      </c>
      <c r="EP138" s="46">
        <v>465</v>
      </c>
      <c r="EQ138" s="46">
        <v>473</v>
      </c>
      <c r="ER138" s="46">
        <v>568</v>
      </c>
      <c r="ES138" s="46">
        <v>420</v>
      </c>
      <c r="ET138" s="46">
        <v>1372</v>
      </c>
      <c r="EU138" s="46">
        <v>1288</v>
      </c>
      <c r="EV138" s="46">
        <v>1271</v>
      </c>
      <c r="EW138" s="46">
        <v>1506</v>
      </c>
      <c r="EX138" s="71">
        <v>1432.6055246239503</v>
      </c>
      <c r="EY138" s="71">
        <v>1452.3961672152327</v>
      </c>
      <c r="EZ138" s="71">
        <v>1472.1868098065152</v>
      </c>
      <c r="FA138" s="71">
        <v>1491.9774523977976</v>
      </c>
      <c r="FB138" s="71">
        <v>1511.7680949890801</v>
      </c>
      <c r="FC138" s="71">
        <v>1531.5587375803623</v>
      </c>
      <c r="FD138" s="71">
        <v>1551.3493801716447</v>
      </c>
      <c r="FE138" s="71">
        <v>1571.1400227629272</v>
      </c>
      <c r="FF138" s="72">
        <v>227091</v>
      </c>
      <c r="FG138" s="72">
        <v>228466</v>
      </c>
      <c r="FH138" s="476">
        <v>230179</v>
      </c>
      <c r="FI138" s="476">
        <v>231327.90900000001</v>
      </c>
      <c r="FJ138" s="476">
        <v>232920.14300000001</v>
      </c>
      <c r="FK138" s="476">
        <v>234567.48699999999</v>
      </c>
    </row>
    <row r="139" spans="1:167">
      <c r="A139" s="73" t="s">
        <v>920</v>
      </c>
      <c r="B139" s="19" t="s">
        <v>921</v>
      </c>
      <c r="C139" s="74" t="s">
        <v>784</v>
      </c>
      <c r="D139" s="75" t="s">
        <v>468</v>
      </c>
      <c r="E139" s="76">
        <v>385</v>
      </c>
      <c r="F139" s="77">
        <v>410</v>
      </c>
      <c r="G139" s="410">
        <v>410</v>
      </c>
      <c r="H139" s="78">
        <v>55565</v>
      </c>
      <c r="I139" s="77">
        <v>57745</v>
      </c>
      <c r="J139" s="410">
        <v>59264</v>
      </c>
      <c r="K139" s="410">
        <v>60838.518999999986</v>
      </c>
      <c r="L139" s="418">
        <v>62227.428999999996</v>
      </c>
      <c r="M139" s="79">
        <v>694.7</v>
      </c>
      <c r="N139" s="80">
        <v>706.5</v>
      </c>
      <c r="O139" s="421">
        <v>711.7</v>
      </c>
      <c r="P139" s="71">
        <v>414</v>
      </c>
      <c r="Q139" s="75" t="s">
        <v>468</v>
      </c>
      <c r="R139" s="81">
        <v>155</v>
      </c>
      <c r="S139" s="77">
        <v>150</v>
      </c>
      <c r="T139" s="452">
        <v>165</v>
      </c>
      <c r="U139" s="77">
        <v>220</v>
      </c>
      <c r="V139" s="77">
        <v>215</v>
      </c>
      <c r="W139" s="452">
        <v>205</v>
      </c>
      <c r="X139" s="82">
        <v>71.400000000000006</v>
      </c>
      <c r="Y139" s="83">
        <v>70.7</v>
      </c>
      <c r="Z139" s="443">
        <v>82.3</v>
      </c>
      <c r="AA139" s="63">
        <v>203</v>
      </c>
      <c r="AB139" s="63">
        <v>250</v>
      </c>
      <c r="AC139" s="19" t="s">
        <v>468</v>
      </c>
      <c r="AD139" s="84">
        <v>257</v>
      </c>
      <c r="AE139" s="85">
        <v>340</v>
      </c>
      <c r="AF139" s="85">
        <v>373</v>
      </c>
      <c r="AG139" s="85">
        <v>346</v>
      </c>
      <c r="AH139" s="85">
        <v>579</v>
      </c>
      <c r="AI139" s="85">
        <v>482</v>
      </c>
      <c r="AJ139" s="85">
        <v>530</v>
      </c>
      <c r="AK139" s="85">
        <v>475</v>
      </c>
      <c r="AL139" s="96">
        <v>637</v>
      </c>
      <c r="AM139" s="96">
        <v>719</v>
      </c>
      <c r="AN139" s="96">
        <v>619</v>
      </c>
      <c r="AO139" s="96">
        <v>746</v>
      </c>
      <c r="AP139" s="96">
        <v>806</v>
      </c>
      <c r="AQ139" s="96">
        <v>538</v>
      </c>
      <c r="AR139" s="96">
        <v>732</v>
      </c>
      <c r="AS139" s="96">
        <v>596</v>
      </c>
      <c r="AT139" s="96">
        <v>693</v>
      </c>
      <c r="AU139" s="96">
        <v>527</v>
      </c>
      <c r="AV139" s="96">
        <v>663</v>
      </c>
      <c r="AW139" s="96">
        <v>933</v>
      </c>
      <c r="AX139" s="97">
        <v>697</v>
      </c>
      <c r="AY139" s="97">
        <v>899</v>
      </c>
      <c r="AZ139" s="97">
        <v>823</v>
      </c>
      <c r="BA139" s="97">
        <v>1118</v>
      </c>
      <c r="BB139" s="97">
        <v>833</v>
      </c>
      <c r="BC139" s="97">
        <v>670</v>
      </c>
      <c r="BD139" s="87">
        <v>1140</v>
      </c>
      <c r="BE139" s="87">
        <v>711</v>
      </c>
      <c r="BF139" s="87">
        <v>799</v>
      </c>
      <c r="BG139" s="87">
        <v>624</v>
      </c>
      <c r="BH139" s="87">
        <v>701</v>
      </c>
      <c r="BI139" s="87">
        <v>543</v>
      </c>
      <c r="BJ139" s="87">
        <v>861</v>
      </c>
      <c r="BK139" s="87">
        <v>956</v>
      </c>
      <c r="BL139" s="87">
        <v>1237</v>
      </c>
      <c r="BM139" s="87">
        <v>1500</v>
      </c>
      <c r="BN139" s="87">
        <v>1046</v>
      </c>
      <c r="BO139" s="87">
        <v>868</v>
      </c>
      <c r="BP139" s="87">
        <v>1262</v>
      </c>
      <c r="BQ139" s="87">
        <v>1153</v>
      </c>
      <c r="BR139" s="96">
        <v>846</v>
      </c>
      <c r="BS139" s="96">
        <v>813</v>
      </c>
      <c r="BT139" s="96">
        <v>895</v>
      </c>
      <c r="BU139" s="96">
        <v>977</v>
      </c>
      <c r="BV139" s="67">
        <v>3054</v>
      </c>
      <c r="BW139" s="67">
        <v>3414</v>
      </c>
      <c r="BX139" s="67">
        <v>3261</v>
      </c>
      <c r="BY139" s="67">
        <v>2685</v>
      </c>
      <c r="BZ139" s="68">
        <v>3351.1179704016913</v>
      </c>
      <c r="CA139" s="68">
        <v>3486.7858350951374</v>
      </c>
      <c r="CB139" s="68">
        <v>3622.453699788583</v>
      </c>
      <c r="CC139" s="68">
        <v>3758.1215644820295</v>
      </c>
      <c r="CD139" s="68">
        <v>3893.7894291754756</v>
      </c>
      <c r="CE139" s="68">
        <v>4029.4572938689216</v>
      </c>
      <c r="CF139" s="68">
        <v>4165.1251585623677</v>
      </c>
      <c r="CG139" s="68">
        <v>4300.7930232558138</v>
      </c>
      <c r="CH139" s="87">
        <v>259200</v>
      </c>
      <c r="CI139" s="467">
        <v>260843</v>
      </c>
      <c r="CJ139" s="467">
        <v>262042.66199999995</v>
      </c>
      <c r="CK139" s="467">
        <v>263540.82099999994</v>
      </c>
      <c r="CL139" s="468">
        <v>264858.31400000001</v>
      </c>
      <c r="CM139" s="19" t="s">
        <v>468</v>
      </c>
      <c r="CN139" s="70">
        <v>723</v>
      </c>
      <c r="CO139" s="70">
        <v>704</v>
      </c>
      <c r="CP139" s="70">
        <v>586</v>
      </c>
      <c r="CQ139" s="70">
        <v>599</v>
      </c>
      <c r="CR139" s="70">
        <v>531</v>
      </c>
      <c r="CS139" s="70">
        <v>620</v>
      </c>
      <c r="CT139" s="70">
        <v>763</v>
      </c>
      <c r="CU139" s="70">
        <v>756</v>
      </c>
      <c r="CV139" s="70">
        <v>807</v>
      </c>
      <c r="CW139" s="70">
        <v>660</v>
      </c>
      <c r="CX139" s="70">
        <v>737</v>
      </c>
      <c r="CY139" s="70">
        <v>794</v>
      </c>
      <c r="CZ139" s="70">
        <v>727</v>
      </c>
      <c r="DA139" s="70">
        <v>758</v>
      </c>
      <c r="DB139" s="70">
        <v>660</v>
      </c>
      <c r="DC139" s="70">
        <v>700</v>
      </c>
      <c r="DD139" s="70">
        <v>611</v>
      </c>
      <c r="DE139" s="70">
        <v>651</v>
      </c>
      <c r="DF139" s="70">
        <v>712</v>
      </c>
      <c r="DG139" s="70">
        <v>741</v>
      </c>
      <c r="DH139" s="70">
        <v>924</v>
      </c>
      <c r="DI139" s="70">
        <v>862</v>
      </c>
      <c r="DJ139" s="70">
        <v>717</v>
      </c>
      <c r="DK139" s="70">
        <v>718</v>
      </c>
      <c r="DL139" s="46">
        <v>724</v>
      </c>
      <c r="DM139" s="46">
        <v>719</v>
      </c>
      <c r="DN139" s="46">
        <v>670</v>
      </c>
      <c r="DO139" s="46">
        <v>662</v>
      </c>
      <c r="DP139" s="46">
        <v>622</v>
      </c>
      <c r="DQ139" s="46">
        <v>576</v>
      </c>
      <c r="DR139" s="46">
        <v>668</v>
      </c>
      <c r="DS139" s="46">
        <v>692</v>
      </c>
      <c r="DT139" s="46">
        <v>783</v>
      </c>
      <c r="DU139" s="46">
        <v>763</v>
      </c>
      <c r="DV139" s="46">
        <v>837</v>
      </c>
      <c r="DW139" s="46">
        <v>742</v>
      </c>
      <c r="DX139" s="46">
        <v>790</v>
      </c>
      <c r="DY139" s="46">
        <v>783</v>
      </c>
      <c r="DZ139" s="46">
        <v>690</v>
      </c>
      <c r="EA139" s="46">
        <v>703</v>
      </c>
      <c r="EB139" s="46">
        <v>677</v>
      </c>
      <c r="EC139" s="46">
        <v>661</v>
      </c>
      <c r="ED139" s="46">
        <v>794</v>
      </c>
      <c r="EE139" s="46">
        <v>831</v>
      </c>
      <c r="EF139" s="46">
        <v>889</v>
      </c>
      <c r="EG139" s="46">
        <v>824</v>
      </c>
      <c r="EH139" s="46">
        <v>732</v>
      </c>
      <c r="EI139" s="46">
        <v>762</v>
      </c>
      <c r="EJ139" s="46">
        <v>875</v>
      </c>
      <c r="EK139" s="46">
        <v>780</v>
      </c>
      <c r="EL139" s="46">
        <v>673</v>
      </c>
      <c r="EM139" s="46">
        <v>696</v>
      </c>
      <c r="EN139" s="46">
        <v>627</v>
      </c>
      <c r="EO139" s="46">
        <v>667</v>
      </c>
      <c r="EP139" s="46">
        <v>725</v>
      </c>
      <c r="EQ139" s="46">
        <v>762</v>
      </c>
      <c r="ER139" s="46">
        <v>888</v>
      </c>
      <c r="ES139" s="46">
        <v>689</v>
      </c>
      <c r="ET139" s="46">
        <v>2318</v>
      </c>
      <c r="EU139" s="46">
        <v>2328</v>
      </c>
      <c r="EV139" s="46">
        <v>1990</v>
      </c>
      <c r="EW139" s="46">
        <v>2375</v>
      </c>
      <c r="EX139" s="71">
        <v>2308.8853240641047</v>
      </c>
      <c r="EY139" s="71">
        <v>2321.3060383278471</v>
      </c>
      <c r="EZ139" s="71">
        <v>2333.7267525915895</v>
      </c>
      <c r="FA139" s="71">
        <v>2346.1474668553319</v>
      </c>
      <c r="FB139" s="71">
        <v>2358.5681811190743</v>
      </c>
      <c r="FC139" s="71">
        <v>2370.9888953828167</v>
      </c>
      <c r="FD139" s="71">
        <v>2383.4096096465591</v>
      </c>
      <c r="FE139" s="71">
        <v>2395.8303239103016</v>
      </c>
      <c r="FF139" s="72">
        <v>326433</v>
      </c>
      <c r="FG139" s="72">
        <v>327627</v>
      </c>
      <c r="FH139" s="476">
        <v>329708</v>
      </c>
      <c r="FI139" s="476">
        <v>330582.81699999998</v>
      </c>
      <c r="FJ139" s="476">
        <v>332239.93699999998</v>
      </c>
      <c r="FK139" s="476">
        <v>333964.25300000003</v>
      </c>
    </row>
    <row r="140" spans="1:167">
      <c r="A140" s="73" t="s">
        <v>909</v>
      </c>
      <c r="B140" s="19" t="s">
        <v>910</v>
      </c>
      <c r="C140" s="74" t="s">
        <v>785</v>
      </c>
      <c r="D140" s="75" t="s">
        <v>471</v>
      </c>
      <c r="E140" s="76">
        <v>155</v>
      </c>
      <c r="F140" s="77">
        <v>205</v>
      </c>
      <c r="G140" s="410">
        <v>215</v>
      </c>
      <c r="H140" s="78">
        <v>46095</v>
      </c>
      <c r="I140" s="77">
        <v>47200</v>
      </c>
      <c r="J140" s="410">
        <v>47940</v>
      </c>
      <c r="K140" s="410">
        <v>48770.587</v>
      </c>
      <c r="L140" s="418">
        <v>49448.737000000001</v>
      </c>
      <c r="M140" s="79">
        <v>331.9</v>
      </c>
      <c r="N140" s="80">
        <v>430.1</v>
      </c>
      <c r="O140" s="421">
        <v>455.5</v>
      </c>
      <c r="P140" s="71">
        <v>202</v>
      </c>
      <c r="Q140" s="75" t="s">
        <v>471</v>
      </c>
      <c r="R140" s="81">
        <v>75</v>
      </c>
      <c r="S140" s="77">
        <v>215</v>
      </c>
      <c r="T140" s="452">
        <v>325</v>
      </c>
      <c r="U140" s="77">
        <v>95</v>
      </c>
      <c r="V140" s="77">
        <v>270</v>
      </c>
      <c r="W140" s="452">
        <v>430</v>
      </c>
      <c r="X140" s="82">
        <v>78.5</v>
      </c>
      <c r="Y140" s="83">
        <v>79.599999999999994</v>
      </c>
      <c r="Z140" s="443">
        <v>75.400000000000006</v>
      </c>
      <c r="AA140" s="63">
        <v>583</v>
      </c>
      <c r="AB140" s="63">
        <v>777</v>
      </c>
      <c r="AC140" s="19" t="s">
        <v>471</v>
      </c>
      <c r="AD140" s="84">
        <v>733</v>
      </c>
      <c r="AE140" s="85">
        <v>630</v>
      </c>
      <c r="AF140" s="85">
        <v>539</v>
      </c>
      <c r="AG140" s="85">
        <v>442</v>
      </c>
      <c r="AH140" s="85">
        <v>571</v>
      </c>
      <c r="AI140" s="85">
        <v>484</v>
      </c>
      <c r="AJ140" s="85">
        <v>436</v>
      </c>
      <c r="AK140" s="85">
        <v>490</v>
      </c>
      <c r="AL140" s="96">
        <v>507</v>
      </c>
      <c r="AM140" s="96">
        <v>623</v>
      </c>
      <c r="AN140" s="96">
        <v>632</v>
      </c>
      <c r="AO140" s="96">
        <v>704</v>
      </c>
      <c r="AP140" s="96">
        <v>561</v>
      </c>
      <c r="AQ140" s="96">
        <v>758</v>
      </c>
      <c r="AR140" s="96">
        <v>723</v>
      </c>
      <c r="AS140" s="96">
        <v>716</v>
      </c>
      <c r="AT140" s="96">
        <v>794</v>
      </c>
      <c r="AU140" s="96">
        <v>698</v>
      </c>
      <c r="AV140" s="96">
        <v>675</v>
      </c>
      <c r="AW140" s="96">
        <v>669</v>
      </c>
      <c r="AX140" s="97">
        <v>552</v>
      </c>
      <c r="AY140" s="97">
        <v>490</v>
      </c>
      <c r="AZ140" s="97">
        <v>377</v>
      </c>
      <c r="BA140" s="97">
        <v>342</v>
      </c>
      <c r="BB140" s="97">
        <v>287</v>
      </c>
      <c r="BC140" s="97">
        <v>455</v>
      </c>
      <c r="BD140" s="87">
        <v>389</v>
      </c>
      <c r="BE140" s="87">
        <v>370</v>
      </c>
      <c r="BF140" s="87">
        <v>370</v>
      </c>
      <c r="BG140" s="87">
        <v>382</v>
      </c>
      <c r="BH140" s="87">
        <v>452</v>
      </c>
      <c r="BI140" s="87">
        <v>376</v>
      </c>
      <c r="BJ140" s="87">
        <v>275</v>
      </c>
      <c r="BK140" s="87">
        <v>346</v>
      </c>
      <c r="BL140" s="87">
        <v>350</v>
      </c>
      <c r="BM140" s="87">
        <v>264</v>
      </c>
      <c r="BN140" s="87">
        <v>284</v>
      </c>
      <c r="BO140" s="87">
        <v>174</v>
      </c>
      <c r="BP140" s="87">
        <v>295</v>
      </c>
      <c r="BQ140" s="87">
        <v>328</v>
      </c>
      <c r="BR140" s="96">
        <v>351</v>
      </c>
      <c r="BS140" s="96">
        <v>291</v>
      </c>
      <c r="BT140" s="96">
        <v>131</v>
      </c>
      <c r="BU140" s="96">
        <v>254</v>
      </c>
      <c r="BV140" s="67">
        <v>971</v>
      </c>
      <c r="BW140" s="67">
        <v>722</v>
      </c>
      <c r="BX140" s="67">
        <v>974</v>
      </c>
      <c r="BY140" s="67">
        <v>676</v>
      </c>
      <c r="BZ140" s="68">
        <v>697.62917547568725</v>
      </c>
      <c r="CA140" s="68">
        <v>607.64566596194504</v>
      </c>
      <c r="CB140" s="68">
        <v>517.66215644820284</v>
      </c>
      <c r="CC140" s="68">
        <v>427.67864693446097</v>
      </c>
      <c r="CD140" s="68">
        <v>337.69513742071877</v>
      </c>
      <c r="CE140" s="68">
        <v>247.7116279069769</v>
      </c>
      <c r="CF140" s="68">
        <v>157.72811839323469</v>
      </c>
      <c r="CG140" s="68">
        <v>67.744608879492489</v>
      </c>
      <c r="CH140" s="87">
        <v>207400</v>
      </c>
      <c r="CI140" s="467">
        <v>208276</v>
      </c>
      <c r="CJ140" s="467">
        <v>209323.73499999993</v>
      </c>
      <c r="CK140" s="467">
        <v>210431.17499999996</v>
      </c>
      <c r="CL140" s="468">
        <v>211510.18099999995</v>
      </c>
      <c r="CM140" s="19" t="s">
        <v>471</v>
      </c>
      <c r="CN140" s="70">
        <v>490</v>
      </c>
      <c r="CO140" s="70">
        <v>465</v>
      </c>
      <c r="CP140" s="70">
        <v>483</v>
      </c>
      <c r="CQ140" s="70">
        <v>446</v>
      </c>
      <c r="CR140" s="70">
        <v>434</v>
      </c>
      <c r="CS140" s="70">
        <v>483</v>
      </c>
      <c r="CT140" s="70">
        <v>557</v>
      </c>
      <c r="CU140" s="70">
        <v>506</v>
      </c>
      <c r="CV140" s="70">
        <v>578</v>
      </c>
      <c r="CW140" s="70">
        <v>526</v>
      </c>
      <c r="CX140" s="70">
        <v>418</v>
      </c>
      <c r="CY140" s="70">
        <v>440</v>
      </c>
      <c r="CZ140" s="70">
        <v>473</v>
      </c>
      <c r="DA140" s="70">
        <v>570</v>
      </c>
      <c r="DB140" s="70">
        <v>533</v>
      </c>
      <c r="DC140" s="70">
        <v>535</v>
      </c>
      <c r="DD140" s="70">
        <v>531</v>
      </c>
      <c r="DE140" s="70">
        <v>490</v>
      </c>
      <c r="DF140" s="70">
        <v>552</v>
      </c>
      <c r="DG140" s="70">
        <v>534</v>
      </c>
      <c r="DH140" s="70">
        <v>643</v>
      </c>
      <c r="DI140" s="70">
        <v>573</v>
      </c>
      <c r="DJ140" s="70">
        <v>503</v>
      </c>
      <c r="DK140" s="70">
        <v>546</v>
      </c>
      <c r="DL140" s="46">
        <v>538</v>
      </c>
      <c r="DM140" s="46">
        <v>499</v>
      </c>
      <c r="DN140" s="46">
        <v>487</v>
      </c>
      <c r="DO140" s="46">
        <v>478</v>
      </c>
      <c r="DP140" s="46">
        <v>442</v>
      </c>
      <c r="DQ140" s="46">
        <v>476</v>
      </c>
      <c r="DR140" s="46">
        <v>502</v>
      </c>
      <c r="DS140" s="46">
        <v>460</v>
      </c>
      <c r="DT140" s="46">
        <v>609</v>
      </c>
      <c r="DU140" s="46">
        <v>600</v>
      </c>
      <c r="DV140" s="46">
        <v>532</v>
      </c>
      <c r="DW140" s="46">
        <v>571</v>
      </c>
      <c r="DX140" s="46">
        <v>544</v>
      </c>
      <c r="DY140" s="46">
        <v>525</v>
      </c>
      <c r="DZ140" s="46">
        <v>490</v>
      </c>
      <c r="EA140" s="46">
        <v>558</v>
      </c>
      <c r="EB140" s="46">
        <v>498</v>
      </c>
      <c r="EC140" s="46">
        <v>478</v>
      </c>
      <c r="ED140" s="46">
        <v>556</v>
      </c>
      <c r="EE140" s="46">
        <v>600</v>
      </c>
      <c r="EF140" s="46">
        <v>660</v>
      </c>
      <c r="EG140" s="46">
        <v>619</v>
      </c>
      <c r="EH140" s="46">
        <v>572</v>
      </c>
      <c r="EI140" s="46">
        <v>594</v>
      </c>
      <c r="EJ140" s="46">
        <v>647</v>
      </c>
      <c r="EK140" s="46">
        <v>615</v>
      </c>
      <c r="EL140" s="46">
        <v>594</v>
      </c>
      <c r="EM140" s="46">
        <v>591</v>
      </c>
      <c r="EN140" s="46">
        <v>481</v>
      </c>
      <c r="EO140" s="46">
        <v>542</v>
      </c>
      <c r="EP140" s="46">
        <v>582</v>
      </c>
      <c r="EQ140" s="46">
        <v>551</v>
      </c>
      <c r="ER140" s="46">
        <v>664</v>
      </c>
      <c r="ES140" s="46">
        <v>529</v>
      </c>
      <c r="ET140" s="46">
        <v>1785</v>
      </c>
      <c r="EU140" s="46">
        <v>1856</v>
      </c>
      <c r="EV140" s="46">
        <v>1614</v>
      </c>
      <c r="EW140" s="46">
        <v>1797</v>
      </c>
      <c r="EX140" s="71">
        <v>1781.3658371527886</v>
      </c>
      <c r="EY140" s="71">
        <v>1797.8224184072101</v>
      </c>
      <c r="EZ140" s="71">
        <v>1814.278999661632</v>
      </c>
      <c r="FA140" s="71">
        <v>1830.735580916054</v>
      </c>
      <c r="FB140" s="71">
        <v>1847.1921621704757</v>
      </c>
      <c r="FC140" s="71">
        <v>1863.6487434248975</v>
      </c>
      <c r="FD140" s="71">
        <v>1880.1053246793194</v>
      </c>
      <c r="FE140" s="71">
        <v>1896.5619059337414</v>
      </c>
      <c r="FF140" s="72">
        <v>269524</v>
      </c>
      <c r="FG140" s="72">
        <v>270924</v>
      </c>
      <c r="FH140" s="476">
        <v>272161</v>
      </c>
      <c r="FI140" s="476">
        <v>273393.40999999997</v>
      </c>
      <c r="FJ140" s="476">
        <v>274754.40000000002</v>
      </c>
      <c r="FK140" s="476">
        <v>276185.92099999997</v>
      </c>
    </row>
    <row r="141" spans="1:167">
      <c r="A141" s="73" t="s">
        <v>899</v>
      </c>
      <c r="B141" s="19" t="s">
        <v>900</v>
      </c>
      <c r="C141" s="74" t="s">
        <v>786</v>
      </c>
      <c r="D141" s="75" t="s">
        <v>474</v>
      </c>
      <c r="E141" s="76">
        <v>95</v>
      </c>
      <c r="F141" s="77">
        <v>110</v>
      </c>
      <c r="G141" s="410">
        <v>95</v>
      </c>
      <c r="H141" s="78">
        <v>25770</v>
      </c>
      <c r="I141" s="77">
        <v>26435</v>
      </c>
      <c r="J141" s="410">
        <v>27023</v>
      </c>
      <c r="K141" s="410">
        <v>27250.756999999998</v>
      </c>
      <c r="L141" s="418">
        <v>27548.576000000005</v>
      </c>
      <c r="M141" s="79">
        <v>372.5</v>
      </c>
      <c r="N141" s="80">
        <v>412.3</v>
      </c>
      <c r="O141" s="421">
        <v>366.9</v>
      </c>
      <c r="P141" s="71">
        <v>106</v>
      </c>
      <c r="Q141" s="75" t="s">
        <v>474</v>
      </c>
      <c r="R141" s="81">
        <v>490</v>
      </c>
      <c r="S141" s="77">
        <v>150</v>
      </c>
      <c r="T141" s="452">
        <v>145</v>
      </c>
      <c r="U141" s="77">
        <v>595</v>
      </c>
      <c r="V141" s="77">
        <v>165</v>
      </c>
      <c r="W141" s="452">
        <v>160</v>
      </c>
      <c r="X141" s="82">
        <v>82.1</v>
      </c>
      <c r="Y141" s="83">
        <v>88.6</v>
      </c>
      <c r="Z141" s="443">
        <v>91.2</v>
      </c>
      <c r="AA141" s="63">
        <v>623.70000000000027</v>
      </c>
      <c r="AB141" s="63">
        <v>693</v>
      </c>
      <c r="AC141" s="19" t="s">
        <v>474</v>
      </c>
      <c r="AD141" s="84">
        <v>183</v>
      </c>
      <c r="AE141" s="85">
        <v>354</v>
      </c>
      <c r="AF141" s="85">
        <v>302</v>
      </c>
      <c r="AG141" s="85">
        <v>292</v>
      </c>
      <c r="AH141" s="85">
        <v>248</v>
      </c>
      <c r="AI141" s="85">
        <v>293</v>
      </c>
      <c r="AJ141" s="85">
        <v>297</v>
      </c>
      <c r="AK141" s="85">
        <v>190</v>
      </c>
      <c r="AL141" s="96">
        <v>179</v>
      </c>
      <c r="AM141" s="96">
        <v>298</v>
      </c>
      <c r="AN141" s="96">
        <v>289</v>
      </c>
      <c r="AO141" s="96">
        <v>268</v>
      </c>
      <c r="AP141" s="96">
        <v>292</v>
      </c>
      <c r="AQ141" s="96">
        <v>298</v>
      </c>
      <c r="AR141" s="96">
        <v>238</v>
      </c>
      <c r="AS141" s="96">
        <v>151</v>
      </c>
      <c r="AT141" s="96">
        <v>136</v>
      </c>
      <c r="AU141" s="96">
        <v>103</v>
      </c>
      <c r="AV141" s="96">
        <v>120</v>
      </c>
      <c r="AW141" s="96">
        <v>136</v>
      </c>
      <c r="AX141" s="97">
        <v>131</v>
      </c>
      <c r="AY141" s="97">
        <v>213</v>
      </c>
      <c r="AZ141" s="97">
        <v>197</v>
      </c>
      <c r="BA141" s="97">
        <v>180</v>
      </c>
      <c r="BB141" s="97">
        <v>242</v>
      </c>
      <c r="BC141" s="97">
        <v>269</v>
      </c>
      <c r="BD141" s="87">
        <v>250</v>
      </c>
      <c r="BE141" s="87">
        <v>305</v>
      </c>
      <c r="BF141" s="87">
        <v>311</v>
      </c>
      <c r="BG141" s="87">
        <v>200</v>
      </c>
      <c r="BH141" s="87">
        <v>205</v>
      </c>
      <c r="BI141" s="87">
        <v>35</v>
      </c>
      <c r="BJ141" s="87">
        <v>181</v>
      </c>
      <c r="BK141" s="87">
        <v>251</v>
      </c>
      <c r="BL141" s="87">
        <v>224</v>
      </c>
      <c r="BM141" s="87">
        <v>441</v>
      </c>
      <c r="BN141" s="87">
        <v>522</v>
      </c>
      <c r="BO141" s="87">
        <v>322</v>
      </c>
      <c r="BP141" s="87">
        <v>498</v>
      </c>
      <c r="BQ141" s="87">
        <v>393</v>
      </c>
      <c r="BR141" s="96">
        <v>443</v>
      </c>
      <c r="BS141" s="96">
        <v>169</v>
      </c>
      <c r="BT141" s="96">
        <v>319</v>
      </c>
      <c r="BU141" s="96">
        <v>34</v>
      </c>
      <c r="BV141" s="67">
        <v>656</v>
      </c>
      <c r="BW141" s="67">
        <v>1285</v>
      </c>
      <c r="BX141" s="67">
        <v>1334</v>
      </c>
      <c r="BY141" s="67">
        <v>522</v>
      </c>
      <c r="BZ141" s="68">
        <v>835.86913319238897</v>
      </c>
      <c r="CA141" s="68">
        <v>846.81374207188162</v>
      </c>
      <c r="CB141" s="68">
        <v>857.75835095137427</v>
      </c>
      <c r="CC141" s="68">
        <v>868.7029598308668</v>
      </c>
      <c r="CD141" s="68">
        <v>879.64756871035934</v>
      </c>
      <c r="CE141" s="68">
        <v>890.5921775898521</v>
      </c>
      <c r="CF141" s="68">
        <v>901.53678646934452</v>
      </c>
      <c r="CG141" s="68">
        <v>912.48139534883717</v>
      </c>
      <c r="CH141" s="87">
        <v>199700</v>
      </c>
      <c r="CI141" s="467">
        <v>202000</v>
      </c>
      <c r="CJ141" s="467">
        <v>204364.11200000011</v>
      </c>
      <c r="CK141" s="467">
        <v>206703.48700000005</v>
      </c>
      <c r="CL141" s="468">
        <v>209313.36199999996</v>
      </c>
      <c r="CM141" s="19" t="s">
        <v>474</v>
      </c>
      <c r="CN141" s="70">
        <v>351</v>
      </c>
      <c r="CO141" s="70">
        <v>340</v>
      </c>
      <c r="CP141" s="70">
        <v>390</v>
      </c>
      <c r="CQ141" s="70">
        <v>376</v>
      </c>
      <c r="CR141" s="70">
        <v>290</v>
      </c>
      <c r="CS141" s="70">
        <v>377</v>
      </c>
      <c r="CT141" s="70">
        <v>393</v>
      </c>
      <c r="CU141" s="70">
        <v>426</v>
      </c>
      <c r="CV141" s="70">
        <v>403</v>
      </c>
      <c r="CW141" s="70">
        <v>330</v>
      </c>
      <c r="CX141" s="70">
        <v>341</v>
      </c>
      <c r="CY141" s="70">
        <v>395</v>
      </c>
      <c r="CZ141" s="70">
        <v>400</v>
      </c>
      <c r="DA141" s="70">
        <v>359</v>
      </c>
      <c r="DB141" s="70">
        <v>362</v>
      </c>
      <c r="DC141" s="70">
        <v>345</v>
      </c>
      <c r="DD141" s="70">
        <v>356</v>
      </c>
      <c r="DE141" s="70">
        <v>345</v>
      </c>
      <c r="DF141" s="70">
        <v>403</v>
      </c>
      <c r="DG141" s="70">
        <v>443</v>
      </c>
      <c r="DH141" s="70">
        <v>496</v>
      </c>
      <c r="DI141" s="70">
        <v>389</v>
      </c>
      <c r="DJ141" s="70">
        <v>386</v>
      </c>
      <c r="DK141" s="70">
        <v>385</v>
      </c>
      <c r="DL141" s="46">
        <v>392</v>
      </c>
      <c r="DM141" s="46">
        <v>412</v>
      </c>
      <c r="DN141" s="46">
        <v>418</v>
      </c>
      <c r="DO141" s="46">
        <v>378</v>
      </c>
      <c r="DP141" s="46">
        <v>395</v>
      </c>
      <c r="DQ141" s="46">
        <v>339</v>
      </c>
      <c r="DR141" s="46">
        <v>389</v>
      </c>
      <c r="DS141" s="46">
        <v>358</v>
      </c>
      <c r="DT141" s="46">
        <v>398</v>
      </c>
      <c r="DU141" s="46">
        <v>449</v>
      </c>
      <c r="DV141" s="46">
        <v>412</v>
      </c>
      <c r="DW141" s="46">
        <v>416</v>
      </c>
      <c r="DX141" s="46">
        <v>419</v>
      </c>
      <c r="DY141" s="46">
        <v>395</v>
      </c>
      <c r="DZ141" s="46">
        <v>393</v>
      </c>
      <c r="EA141" s="46">
        <v>384</v>
      </c>
      <c r="EB141" s="46">
        <v>334</v>
      </c>
      <c r="EC141" s="46">
        <v>356</v>
      </c>
      <c r="ED141" s="46">
        <v>455</v>
      </c>
      <c r="EE141" s="46">
        <v>445</v>
      </c>
      <c r="EF141" s="46">
        <v>459</v>
      </c>
      <c r="EG141" s="46">
        <v>404</v>
      </c>
      <c r="EH141" s="46">
        <v>414</v>
      </c>
      <c r="EI141" s="46">
        <v>427</v>
      </c>
      <c r="EJ141" s="46">
        <v>400</v>
      </c>
      <c r="EK141" s="46">
        <v>408</v>
      </c>
      <c r="EL141" s="46">
        <v>393</v>
      </c>
      <c r="EM141" s="46">
        <v>418</v>
      </c>
      <c r="EN141" s="46">
        <v>382</v>
      </c>
      <c r="EO141" s="46">
        <v>380</v>
      </c>
      <c r="EP141" s="46">
        <v>423</v>
      </c>
      <c r="EQ141" s="46">
        <v>442</v>
      </c>
      <c r="ER141" s="46">
        <v>448</v>
      </c>
      <c r="ES141" s="46">
        <v>405</v>
      </c>
      <c r="ET141" s="46">
        <v>1245</v>
      </c>
      <c r="EU141" s="46">
        <v>1201</v>
      </c>
      <c r="EV141" s="46">
        <v>1180</v>
      </c>
      <c r="EW141" s="46">
        <v>1313</v>
      </c>
      <c r="EX141" s="71">
        <v>1275.8391214740534</v>
      </c>
      <c r="EY141" s="71">
        <v>1284.649204835584</v>
      </c>
      <c r="EZ141" s="71">
        <v>1293.4592881971146</v>
      </c>
      <c r="FA141" s="71">
        <v>1302.2693715586452</v>
      </c>
      <c r="FB141" s="71">
        <v>1311.079454920176</v>
      </c>
      <c r="FC141" s="71">
        <v>1319.8895382817066</v>
      </c>
      <c r="FD141" s="71">
        <v>1328.6996216432372</v>
      </c>
      <c r="FE141" s="71">
        <v>1337.509705004768</v>
      </c>
      <c r="FF141" s="72">
        <v>259742</v>
      </c>
      <c r="FG141" s="72">
        <v>262566</v>
      </c>
      <c r="FH141" s="476">
        <v>265797</v>
      </c>
      <c r="FI141" s="476">
        <v>268758.95199999999</v>
      </c>
      <c r="FJ141" s="476">
        <v>271973.14199999999</v>
      </c>
      <c r="FK141" s="476">
        <v>275482.28000000003</v>
      </c>
    </row>
    <row r="142" spans="1:167">
      <c r="A142" s="73" t="s">
        <v>907</v>
      </c>
      <c r="B142" s="19" t="s">
        <v>908</v>
      </c>
      <c r="C142" s="74" t="s">
        <v>787</v>
      </c>
      <c r="D142" s="75" t="s">
        <v>477</v>
      </c>
      <c r="E142" s="76">
        <v>190</v>
      </c>
      <c r="F142" s="77">
        <v>155</v>
      </c>
      <c r="G142" s="410">
        <v>145</v>
      </c>
      <c r="H142" s="78">
        <v>27080</v>
      </c>
      <c r="I142" s="77">
        <v>27795</v>
      </c>
      <c r="J142" s="410">
        <v>28251</v>
      </c>
      <c r="K142" s="410">
        <v>28844.771999999997</v>
      </c>
      <c r="L142" s="418">
        <v>29331.818999999996</v>
      </c>
      <c r="M142" s="79">
        <v>709</v>
      </c>
      <c r="N142" s="80">
        <v>554</v>
      </c>
      <c r="O142" s="421">
        <v>521.6</v>
      </c>
      <c r="P142" s="71">
        <v>135</v>
      </c>
      <c r="Q142" s="75" t="s">
        <v>477</v>
      </c>
      <c r="R142" s="81">
        <v>205</v>
      </c>
      <c r="S142" s="77">
        <v>130</v>
      </c>
      <c r="T142" s="452">
        <v>120</v>
      </c>
      <c r="U142" s="77">
        <v>240</v>
      </c>
      <c r="V142" s="77">
        <v>135</v>
      </c>
      <c r="W142" s="452">
        <v>130</v>
      </c>
      <c r="X142" s="82">
        <v>85.3</v>
      </c>
      <c r="Y142" s="83">
        <v>93.4</v>
      </c>
      <c r="Z142" s="443">
        <v>93</v>
      </c>
      <c r="AA142" s="63">
        <v>154</v>
      </c>
      <c r="AB142" s="63">
        <v>171</v>
      </c>
      <c r="AC142" s="19" t="s">
        <v>477</v>
      </c>
      <c r="AD142" s="84">
        <v>285</v>
      </c>
      <c r="AE142" s="85">
        <v>299</v>
      </c>
      <c r="AF142" s="85">
        <v>345</v>
      </c>
      <c r="AG142" s="85">
        <v>257</v>
      </c>
      <c r="AH142" s="85">
        <v>246</v>
      </c>
      <c r="AI142" s="85">
        <v>434</v>
      </c>
      <c r="AJ142" s="85">
        <v>414</v>
      </c>
      <c r="AK142" s="85">
        <v>461</v>
      </c>
      <c r="AL142" s="96">
        <v>335</v>
      </c>
      <c r="AM142" s="96">
        <v>575</v>
      </c>
      <c r="AN142" s="96">
        <v>478</v>
      </c>
      <c r="AO142" s="96">
        <v>612</v>
      </c>
      <c r="AP142" s="96">
        <v>517</v>
      </c>
      <c r="AQ142" s="96">
        <v>344</v>
      </c>
      <c r="AR142" s="96">
        <v>311</v>
      </c>
      <c r="AS142" s="96">
        <v>339</v>
      </c>
      <c r="AT142" s="96">
        <v>326</v>
      </c>
      <c r="AU142" s="96">
        <v>381</v>
      </c>
      <c r="AV142" s="96">
        <v>264</v>
      </c>
      <c r="AW142" s="96">
        <v>208</v>
      </c>
      <c r="AX142" s="97">
        <v>201</v>
      </c>
      <c r="AY142" s="97">
        <v>151</v>
      </c>
      <c r="AZ142" s="97">
        <v>107</v>
      </c>
      <c r="BA142" s="97">
        <v>104</v>
      </c>
      <c r="BB142" s="97">
        <v>174</v>
      </c>
      <c r="BC142" s="97">
        <v>199</v>
      </c>
      <c r="BD142" s="87">
        <v>183</v>
      </c>
      <c r="BE142" s="87">
        <v>117</v>
      </c>
      <c r="BF142" s="87">
        <v>214</v>
      </c>
      <c r="BG142" s="87">
        <v>243</v>
      </c>
      <c r="BH142" s="87">
        <v>200</v>
      </c>
      <c r="BI142" s="87">
        <v>109</v>
      </c>
      <c r="BJ142" s="87">
        <v>157</v>
      </c>
      <c r="BK142" s="87">
        <v>154</v>
      </c>
      <c r="BL142" s="87">
        <v>84</v>
      </c>
      <c r="BM142" s="87">
        <v>189</v>
      </c>
      <c r="BN142" s="87">
        <v>167</v>
      </c>
      <c r="BO142" s="87">
        <v>179</v>
      </c>
      <c r="BP142" s="87">
        <v>161</v>
      </c>
      <c r="BQ142" s="87">
        <v>251</v>
      </c>
      <c r="BR142" s="96">
        <v>311</v>
      </c>
      <c r="BS142" s="96">
        <v>221</v>
      </c>
      <c r="BT142" s="96">
        <v>155</v>
      </c>
      <c r="BU142" s="96">
        <v>324</v>
      </c>
      <c r="BV142" s="67">
        <v>395</v>
      </c>
      <c r="BW142" s="67">
        <v>535</v>
      </c>
      <c r="BX142" s="67">
        <v>723</v>
      </c>
      <c r="BY142" s="67">
        <v>700</v>
      </c>
      <c r="BZ142" s="68">
        <v>392.1173361522201</v>
      </c>
      <c r="CA142" s="68">
        <v>339.58879492600448</v>
      </c>
      <c r="CB142" s="68">
        <v>287.06025369978869</v>
      </c>
      <c r="CC142" s="68">
        <v>234.53171247357307</v>
      </c>
      <c r="CD142" s="68">
        <v>182.00317124735744</v>
      </c>
      <c r="CE142" s="68">
        <v>129.47463002114182</v>
      </c>
      <c r="CF142" s="68">
        <v>76.946088794926197</v>
      </c>
      <c r="CG142" s="68">
        <v>24.417547568710575</v>
      </c>
      <c r="CH142" s="87">
        <v>251400</v>
      </c>
      <c r="CI142" s="467">
        <v>252281</v>
      </c>
      <c r="CJ142" s="467">
        <v>254833.11999999991</v>
      </c>
      <c r="CK142" s="467">
        <v>256739.07499999998</v>
      </c>
      <c r="CL142" s="468">
        <v>258924.24600000007</v>
      </c>
      <c r="CM142" s="19" t="s">
        <v>477</v>
      </c>
      <c r="CN142" s="70">
        <v>371</v>
      </c>
      <c r="CO142" s="70">
        <v>376</v>
      </c>
      <c r="CP142" s="70">
        <v>321</v>
      </c>
      <c r="CQ142" s="70">
        <v>354</v>
      </c>
      <c r="CR142" s="70">
        <v>365</v>
      </c>
      <c r="CS142" s="70">
        <v>376</v>
      </c>
      <c r="CT142" s="70">
        <v>381</v>
      </c>
      <c r="CU142" s="70">
        <v>391</v>
      </c>
      <c r="CV142" s="70">
        <v>450</v>
      </c>
      <c r="CW142" s="70">
        <v>402</v>
      </c>
      <c r="CX142" s="70">
        <v>372</v>
      </c>
      <c r="CY142" s="70">
        <v>273</v>
      </c>
      <c r="CZ142" s="70">
        <v>343</v>
      </c>
      <c r="DA142" s="70">
        <v>332</v>
      </c>
      <c r="DB142" s="70">
        <v>328</v>
      </c>
      <c r="DC142" s="70">
        <v>307</v>
      </c>
      <c r="DD142" s="70">
        <v>321</v>
      </c>
      <c r="DE142" s="70">
        <v>365</v>
      </c>
      <c r="DF142" s="70">
        <v>395</v>
      </c>
      <c r="DG142" s="70">
        <v>412</v>
      </c>
      <c r="DH142" s="70">
        <v>476</v>
      </c>
      <c r="DI142" s="70">
        <v>394</v>
      </c>
      <c r="DJ142" s="70">
        <v>349</v>
      </c>
      <c r="DK142" s="70">
        <v>386</v>
      </c>
      <c r="DL142" s="46">
        <v>350</v>
      </c>
      <c r="DM142" s="46">
        <v>344</v>
      </c>
      <c r="DN142" s="46">
        <v>330</v>
      </c>
      <c r="DO142" s="46">
        <v>314</v>
      </c>
      <c r="DP142" s="46">
        <v>350</v>
      </c>
      <c r="DQ142" s="46">
        <v>358</v>
      </c>
      <c r="DR142" s="46">
        <v>367</v>
      </c>
      <c r="DS142" s="46">
        <v>374</v>
      </c>
      <c r="DT142" s="46">
        <v>433</v>
      </c>
      <c r="DU142" s="46">
        <v>393</v>
      </c>
      <c r="DV142" s="46">
        <v>424</v>
      </c>
      <c r="DW142" s="46">
        <v>343</v>
      </c>
      <c r="DX142" s="46">
        <v>383</v>
      </c>
      <c r="DY142" s="46">
        <v>391</v>
      </c>
      <c r="DZ142" s="46">
        <v>371</v>
      </c>
      <c r="EA142" s="46">
        <v>391</v>
      </c>
      <c r="EB142" s="46">
        <v>342</v>
      </c>
      <c r="EC142" s="46">
        <v>355</v>
      </c>
      <c r="ED142" s="46">
        <v>408</v>
      </c>
      <c r="EE142" s="46">
        <v>423</v>
      </c>
      <c r="EF142" s="46">
        <v>493</v>
      </c>
      <c r="EG142" s="46">
        <v>415</v>
      </c>
      <c r="EH142" s="46">
        <v>426</v>
      </c>
      <c r="EI142" s="46">
        <v>456</v>
      </c>
      <c r="EJ142" s="46">
        <v>398</v>
      </c>
      <c r="EK142" s="46">
        <v>423</v>
      </c>
      <c r="EL142" s="46">
        <v>350</v>
      </c>
      <c r="EM142" s="46">
        <v>396</v>
      </c>
      <c r="EN142" s="46">
        <v>392</v>
      </c>
      <c r="EO142" s="46">
        <v>383</v>
      </c>
      <c r="EP142" s="46">
        <v>423</v>
      </c>
      <c r="EQ142" s="46">
        <v>384</v>
      </c>
      <c r="ER142" s="46">
        <v>489</v>
      </c>
      <c r="ES142" s="46">
        <v>357</v>
      </c>
      <c r="ET142" s="46">
        <v>1297</v>
      </c>
      <c r="EU142" s="46">
        <v>1171</v>
      </c>
      <c r="EV142" s="46">
        <v>1171</v>
      </c>
      <c r="EW142" s="46">
        <v>1296</v>
      </c>
      <c r="EX142" s="71">
        <v>1238.8380448491187</v>
      </c>
      <c r="EY142" s="71">
        <v>1247.8230951428836</v>
      </c>
      <c r="EZ142" s="71">
        <v>1256.8081454366484</v>
      </c>
      <c r="FA142" s="71">
        <v>1265.7931957304131</v>
      </c>
      <c r="FB142" s="71">
        <v>1274.7782460241779</v>
      </c>
      <c r="FC142" s="71">
        <v>1283.7632963179428</v>
      </c>
      <c r="FD142" s="71">
        <v>1292.7483466117076</v>
      </c>
      <c r="FE142" s="71">
        <v>1301.7333969054723</v>
      </c>
      <c r="FF142" s="72">
        <v>307710</v>
      </c>
      <c r="FG142" s="72">
        <v>308312</v>
      </c>
      <c r="FH142" s="476">
        <v>310516</v>
      </c>
      <c r="FI142" s="476">
        <v>314025.18599999999</v>
      </c>
      <c r="FJ142" s="476">
        <v>317002.38099999999</v>
      </c>
      <c r="FK142" s="476">
        <v>320297.37699999998</v>
      </c>
    </row>
    <row r="143" spans="1:167">
      <c r="A143" s="73" t="s">
        <v>931</v>
      </c>
      <c r="B143" s="19" t="s">
        <v>932</v>
      </c>
      <c r="C143" s="74" t="s">
        <v>788</v>
      </c>
      <c r="D143" s="75" t="s">
        <v>480</v>
      </c>
      <c r="E143" s="76">
        <v>205</v>
      </c>
      <c r="F143" s="77">
        <v>250</v>
      </c>
      <c r="G143" s="410">
        <v>250</v>
      </c>
      <c r="H143" s="78">
        <v>32510</v>
      </c>
      <c r="I143" s="77">
        <v>33990</v>
      </c>
      <c r="J143" s="410">
        <v>35064</v>
      </c>
      <c r="K143" s="410">
        <v>35979.879000000001</v>
      </c>
      <c r="L143" s="418">
        <v>36870.187000000013</v>
      </c>
      <c r="M143" s="79">
        <v>636.79999999999995</v>
      </c>
      <c r="N143" s="80">
        <v>729.6</v>
      </c>
      <c r="O143" s="421">
        <v>738.4</v>
      </c>
      <c r="P143" s="71">
        <v>244</v>
      </c>
      <c r="Q143" s="75" t="s">
        <v>480</v>
      </c>
      <c r="R143" s="81">
        <v>350</v>
      </c>
      <c r="S143" s="77">
        <v>370</v>
      </c>
      <c r="T143" s="452">
        <v>430</v>
      </c>
      <c r="U143" s="77">
        <v>405</v>
      </c>
      <c r="V143" s="77">
        <v>415</v>
      </c>
      <c r="W143" s="452">
        <v>475</v>
      </c>
      <c r="X143" s="82">
        <v>87.1</v>
      </c>
      <c r="Y143" s="83">
        <v>89.6</v>
      </c>
      <c r="Z143" s="443">
        <v>90.5</v>
      </c>
      <c r="AA143" s="63">
        <v>423</v>
      </c>
      <c r="AB143" s="63">
        <v>463</v>
      </c>
      <c r="AC143" s="19" t="s">
        <v>480</v>
      </c>
      <c r="AD143" s="84">
        <v>286</v>
      </c>
      <c r="AE143" s="85">
        <v>341</v>
      </c>
      <c r="AF143" s="85">
        <v>305</v>
      </c>
      <c r="AG143" s="85">
        <v>260</v>
      </c>
      <c r="AH143" s="85">
        <v>237</v>
      </c>
      <c r="AI143" s="85">
        <v>94</v>
      </c>
      <c r="AJ143" s="85">
        <v>22</v>
      </c>
      <c r="AK143" s="85">
        <v>10</v>
      </c>
      <c r="AL143" s="96">
        <v>63</v>
      </c>
      <c r="AM143" s="96">
        <v>83</v>
      </c>
      <c r="AN143" s="96">
        <v>148</v>
      </c>
      <c r="AO143" s="96">
        <v>308</v>
      </c>
      <c r="AP143" s="96">
        <v>382</v>
      </c>
      <c r="AQ143" s="96">
        <v>457</v>
      </c>
      <c r="AR143" s="96">
        <v>445</v>
      </c>
      <c r="AS143" s="96">
        <v>589</v>
      </c>
      <c r="AT143" s="96">
        <v>427</v>
      </c>
      <c r="AU143" s="96">
        <v>534</v>
      </c>
      <c r="AV143" s="96">
        <v>439</v>
      </c>
      <c r="AW143" s="96">
        <v>206</v>
      </c>
      <c r="AX143" s="97">
        <v>231</v>
      </c>
      <c r="AY143" s="97">
        <v>148</v>
      </c>
      <c r="AZ143" s="97">
        <v>153</v>
      </c>
      <c r="BA143" s="97">
        <v>126</v>
      </c>
      <c r="BB143" s="97">
        <v>142</v>
      </c>
      <c r="BC143" s="97">
        <v>158</v>
      </c>
      <c r="BD143" s="87">
        <v>175</v>
      </c>
      <c r="BE143" s="87">
        <v>141</v>
      </c>
      <c r="BF143" s="87">
        <v>148</v>
      </c>
      <c r="BG143" s="87">
        <v>125</v>
      </c>
      <c r="BH143" s="87">
        <v>89</v>
      </c>
      <c r="BI143" s="87">
        <v>130</v>
      </c>
      <c r="BJ143" s="87">
        <v>185</v>
      </c>
      <c r="BK143" s="87">
        <v>204</v>
      </c>
      <c r="BL143" s="87">
        <v>396</v>
      </c>
      <c r="BM143" s="87">
        <v>372</v>
      </c>
      <c r="BN143" s="87">
        <v>313</v>
      </c>
      <c r="BO143" s="87">
        <v>337</v>
      </c>
      <c r="BP143" s="87">
        <v>404</v>
      </c>
      <c r="BQ143" s="87">
        <v>401</v>
      </c>
      <c r="BR143" s="96">
        <v>364</v>
      </c>
      <c r="BS143" s="96">
        <v>419</v>
      </c>
      <c r="BT143" s="96">
        <v>608</v>
      </c>
      <c r="BU143" s="96">
        <v>639</v>
      </c>
      <c r="BV143" s="67">
        <v>785</v>
      </c>
      <c r="BW143" s="67">
        <v>1022</v>
      </c>
      <c r="BX143" s="67">
        <v>1169</v>
      </c>
      <c r="BY143" s="67">
        <v>1666</v>
      </c>
      <c r="BZ143" s="68">
        <v>1085.8126849894293</v>
      </c>
      <c r="CA143" s="68">
        <v>1119.5953488372093</v>
      </c>
      <c r="CB143" s="68">
        <v>1153.3780126849895</v>
      </c>
      <c r="CC143" s="68">
        <v>1187.1606765327697</v>
      </c>
      <c r="CD143" s="68">
        <v>1220.9433403805499</v>
      </c>
      <c r="CE143" s="68">
        <v>1254.7260042283301</v>
      </c>
      <c r="CF143" s="68">
        <v>1288.5086680761101</v>
      </c>
      <c r="CG143" s="68">
        <v>1322.2913319238903</v>
      </c>
      <c r="CH143" s="87">
        <v>159500</v>
      </c>
      <c r="CI143" s="467">
        <v>160810</v>
      </c>
      <c r="CJ143" s="467">
        <v>162168.91899999999</v>
      </c>
      <c r="CK143" s="467">
        <v>163545.17600000001</v>
      </c>
      <c r="CL143" s="468">
        <v>164830.26200000005</v>
      </c>
      <c r="CM143" s="19" t="s">
        <v>480</v>
      </c>
      <c r="CN143" s="70">
        <v>368</v>
      </c>
      <c r="CO143" s="70">
        <v>359</v>
      </c>
      <c r="CP143" s="70">
        <v>370</v>
      </c>
      <c r="CQ143" s="70">
        <v>355</v>
      </c>
      <c r="CR143" s="70">
        <v>344</v>
      </c>
      <c r="CS143" s="70">
        <v>329</v>
      </c>
      <c r="CT143" s="70">
        <v>399</v>
      </c>
      <c r="CU143" s="70">
        <v>403</v>
      </c>
      <c r="CV143" s="70">
        <v>511</v>
      </c>
      <c r="CW143" s="70">
        <v>381</v>
      </c>
      <c r="CX143" s="70">
        <v>394</v>
      </c>
      <c r="CY143" s="70">
        <v>427</v>
      </c>
      <c r="CZ143" s="70">
        <v>383</v>
      </c>
      <c r="DA143" s="70">
        <v>379</v>
      </c>
      <c r="DB143" s="70">
        <v>356</v>
      </c>
      <c r="DC143" s="70">
        <v>357</v>
      </c>
      <c r="DD143" s="70">
        <v>346</v>
      </c>
      <c r="DE143" s="70">
        <v>384</v>
      </c>
      <c r="DF143" s="70">
        <v>412</v>
      </c>
      <c r="DG143" s="70">
        <v>398</v>
      </c>
      <c r="DH143" s="70">
        <v>455</v>
      </c>
      <c r="DI143" s="70">
        <v>421</v>
      </c>
      <c r="DJ143" s="70">
        <v>387</v>
      </c>
      <c r="DK143" s="70">
        <v>411</v>
      </c>
      <c r="DL143" s="46">
        <v>365</v>
      </c>
      <c r="DM143" s="46">
        <v>318</v>
      </c>
      <c r="DN143" s="46">
        <v>342</v>
      </c>
      <c r="DO143" s="46">
        <v>375</v>
      </c>
      <c r="DP143" s="46">
        <v>344</v>
      </c>
      <c r="DQ143" s="46">
        <v>373</v>
      </c>
      <c r="DR143" s="46">
        <v>416</v>
      </c>
      <c r="DS143" s="46">
        <v>412</v>
      </c>
      <c r="DT143" s="46">
        <v>450</v>
      </c>
      <c r="DU143" s="46">
        <v>470</v>
      </c>
      <c r="DV143" s="46">
        <v>447</v>
      </c>
      <c r="DW143" s="46">
        <v>390</v>
      </c>
      <c r="DX143" s="46">
        <v>435</v>
      </c>
      <c r="DY143" s="46">
        <v>480</v>
      </c>
      <c r="DZ143" s="46">
        <v>387</v>
      </c>
      <c r="EA143" s="46">
        <v>434</v>
      </c>
      <c r="EB143" s="46">
        <v>351</v>
      </c>
      <c r="EC143" s="46">
        <v>369</v>
      </c>
      <c r="ED143" s="46">
        <v>381</v>
      </c>
      <c r="EE143" s="46">
        <v>418</v>
      </c>
      <c r="EF143" s="46">
        <v>501</v>
      </c>
      <c r="EG143" s="46">
        <v>462</v>
      </c>
      <c r="EH143" s="46">
        <v>378</v>
      </c>
      <c r="EI143" s="46">
        <v>404</v>
      </c>
      <c r="EJ143" s="46">
        <v>393</v>
      </c>
      <c r="EK143" s="46">
        <v>426</v>
      </c>
      <c r="EL143" s="46">
        <v>348</v>
      </c>
      <c r="EM143" s="46">
        <v>394</v>
      </c>
      <c r="EN143" s="46">
        <v>342</v>
      </c>
      <c r="EO143" s="46">
        <v>352</v>
      </c>
      <c r="EP143" s="46">
        <v>374</v>
      </c>
      <c r="EQ143" s="46">
        <v>374</v>
      </c>
      <c r="ER143" s="46">
        <v>425</v>
      </c>
      <c r="ES143" s="46">
        <v>347</v>
      </c>
      <c r="ET143" s="46">
        <v>1244</v>
      </c>
      <c r="EU143" s="46">
        <v>1167</v>
      </c>
      <c r="EV143" s="46">
        <v>1088</v>
      </c>
      <c r="EW143" s="46">
        <v>1173</v>
      </c>
      <c r="EX143" s="71">
        <v>1209.642375957427</v>
      </c>
      <c r="EY143" s="71">
        <v>1212.4136085391738</v>
      </c>
      <c r="EZ143" s="71">
        <v>1215.1848411209203</v>
      </c>
      <c r="FA143" s="71">
        <v>1217.9560737026668</v>
      </c>
      <c r="FB143" s="71">
        <v>1220.7273062844135</v>
      </c>
      <c r="FC143" s="71">
        <v>1223.4985388661601</v>
      </c>
      <c r="FD143" s="71">
        <v>1226.2697714479066</v>
      </c>
      <c r="FE143" s="71">
        <v>1229.0410040296533</v>
      </c>
      <c r="FF143" s="72">
        <v>202709</v>
      </c>
      <c r="FG143" s="72">
        <v>203652</v>
      </c>
      <c r="FH143" s="476">
        <v>205109</v>
      </c>
      <c r="FI143" s="476">
        <v>206608.51199999999</v>
      </c>
      <c r="FJ143" s="476">
        <v>208141.073</v>
      </c>
      <c r="FK143" s="476">
        <v>209732.31200000001</v>
      </c>
    </row>
    <row r="144" spans="1:167">
      <c r="A144" s="73" t="s">
        <v>937</v>
      </c>
      <c r="B144" s="19" t="s">
        <v>938</v>
      </c>
      <c r="C144" s="74" t="s">
        <v>789</v>
      </c>
      <c r="D144" s="75" t="s">
        <v>483</v>
      </c>
      <c r="E144" s="76">
        <v>570</v>
      </c>
      <c r="F144" s="77">
        <v>705</v>
      </c>
      <c r="G144" s="410">
        <v>580</v>
      </c>
      <c r="H144" s="78">
        <v>100300</v>
      </c>
      <c r="I144" s="77">
        <v>104380</v>
      </c>
      <c r="J144" s="410">
        <v>107421</v>
      </c>
      <c r="K144" s="410">
        <v>110671.815</v>
      </c>
      <c r="L144" s="418">
        <v>113448.69400000005</v>
      </c>
      <c r="M144" s="79">
        <v>567.29999999999995</v>
      </c>
      <c r="N144" s="80">
        <v>673.5</v>
      </c>
      <c r="O144" s="421">
        <v>554.70000000000005</v>
      </c>
      <c r="P144" s="71">
        <v>684</v>
      </c>
      <c r="Q144" s="75" t="s">
        <v>483</v>
      </c>
      <c r="R144" s="81">
        <v>435</v>
      </c>
      <c r="S144" s="77">
        <v>695</v>
      </c>
      <c r="T144" s="452">
        <v>785</v>
      </c>
      <c r="U144" s="77">
        <v>535</v>
      </c>
      <c r="V144" s="77">
        <v>845</v>
      </c>
      <c r="W144" s="452">
        <v>890</v>
      </c>
      <c r="X144" s="82">
        <v>81.2</v>
      </c>
      <c r="Y144" s="83">
        <v>82.2</v>
      </c>
      <c r="Z144" s="443">
        <v>87.9</v>
      </c>
      <c r="AA144" s="63">
        <v>804</v>
      </c>
      <c r="AB144" s="63">
        <v>944</v>
      </c>
      <c r="AC144" s="19" t="s">
        <v>483</v>
      </c>
      <c r="AD144" s="84">
        <v>2382</v>
      </c>
      <c r="AE144" s="85">
        <v>2208</v>
      </c>
      <c r="AF144" s="85">
        <v>2102</v>
      </c>
      <c r="AG144" s="85">
        <v>2096</v>
      </c>
      <c r="AH144" s="85">
        <v>2090</v>
      </c>
      <c r="AI144" s="85">
        <v>2499</v>
      </c>
      <c r="AJ144" s="85">
        <v>2770</v>
      </c>
      <c r="AK144" s="85">
        <v>2949</v>
      </c>
      <c r="AL144" s="96">
        <v>2234</v>
      </c>
      <c r="AM144" s="96">
        <v>1914</v>
      </c>
      <c r="AN144" s="96">
        <v>2068</v>
      </c>
      <c r="AO144" s="96">
        <v>1884</v>
      </c>
      <c r="AP144" s="96">
        <v>2434</v>
      </c>
      <c r="AQ144" s="96">
        <v>2249</v>
      </c>
      <c r="AR144" s="96">
        <v>2405</v>
      </c>
      <c r="AS144" s="96">
        <v>2449</v>
      </c>
      <c r="AT144" s="96">
        <v>2234</v>
      </c>
      <c r="AU144" s="96">
        <v>1952</v>
      </c>
      <c r="AV144" s="96">
        <v>2012</v>
      </c>
      <c r="AW144" s="96">
        <v>2396</v>
      </c>
      <c r="AX144" s="97">
        <v>1952</v>
      </c>
      <c r="AY144" s="97">
        <v>1849</v>
      </c>
      <c r="AZ144" s="97">
        <v>1667</v>
      </c>
      <c r="BA144" s="97">
        <v>1836</v>
      </c>
      <c r="BB144" s="97">
        <v>1974</v>
      </c>
      <c r="BC144" s="97">
        <v>2147</v>
      </c>
      <c r="BD144" s="87">
        <v>1524</v>
      </c>
      <c r="BE144" s="87">
        <v>1533</v>
      </c>
      <c r="BF144" s="87">
        <v>1297</v>
      </c>
      <c r="BG144" s="87">
        <v>1332</v>
      </c>
      <c r="BH144" s="87">
        <v>1745</v>
      </c>
      <c r="BI144" s="87">
        <v>1356</v>
      </c>
      <c r="BJ144" s="87">
        <v>1387</v>
      </c>
      <c r="BK144" s="87">
        <v>1132</v>
      </c>
      <c r="BL144" s="87">
        <v>1259</v>
      </c>
      <c r="BM144" s="87">
        <v>1346</v>
      </c>
      <c r="BN144" s="87">
        <v>1440</v>
      </c>
      <c r="BO144" s="87">
        <v>1230</v>
      </c>
      <c r="BP144" s="87">
        <v>1370</v>
      </c>
      <c r="BQ144" s="87">
        <v>1193</v>
      </c>
      <c r="BR144" s="96">
        <v>1170</v>
      </c>
      <c r="BS144" s="96">
        <v>1197</v>
      </c>
      <c r="BT144" s="96">
        <v>1174</v>
      </c>
      <c r="BU144" s="96">
        <v>1235</v>
      </c>
      <c r="BV144" s="67">
        <v>3778</v>
      </c>
      <c r="BW144" s="67">
        <v>4016</v>
      </c>
      <c r="BX144" s="67">
        <v>3733</v>
      </c>
      <c r="BY144" s="67">
        <v>3606</v>
      </c>
      <c r="BZ144" s="68">
        <v>3179.577167019027</v>
      </c>
      <c r="CA144" s="68">
        <v>2883.3065539112044</v>
      </c>
      <c r="CB144" s="68">
        <v>2587.0359408033819</v>
      </c>
      <c r="CC144" s="68">
        <v>2290.7653276955598</v>
      </c>
      <c r="CD144" s="68">
        <v>1994.4947145877368</v>
      </c>
      <c r="CE144" s="68">
        <v>1698.2241014799145</v>
      </c>
      <c r="CF144" s="68">
        <v>1401.9534883720921</v>
      </c>
      <c r="CG144" s="68">
        <v>1105.6828752642691</v>
      </c>
      <c r="CH144" s="87">
        <v>436100</v>
      </c>
      <c r="CI144" s="467">
        <v>436800</v>
      </c>
      <c r="CJ144" s="467">
        <v>440430.24000000028</v>
      </c>
      <c r="CK144" s="467">
        <v>443195.10799999966</v>
      </c>
      <c r="CL144" s="468">
        <v>446011.66599999991</v>
      </c>
      <c r="CM144" s="19" t="s">
        <v>483</v>
      </c>
      <c r="CN144" s="70">
        <v>743</v>
      </c>
      <c r="CO144" s="70">
        <v>736</v>
      </c>
      <c r="CP144" s="70">
        <v>737</v>
      </c>
      <c r="CQ144" s="70">
        <v>737</v>
      </c>
      <c r="CR144" s="70">
        <v>714</v>
      </c>
      <c r="CS144" s="70">
        <v>765</v>
      </c>
      <c r="CT144" s="70">
        <v>804</v>
      </c>
      <c r="CU144" s="70">
        <v>775</v>
      </c>
      <c r="CV144" s="70">
        <v>899</v>
      </c>
      <c r="CW144" s="70">
        <v>860</v>
      </c>
      <c r="CX144" s="70">
        <v>708</v>
      </c>
      <c r="CY144" s="70">
        <v>845</v>
      </c>
      <c r="CZ144" s="70">
        <v>805</v>
      </c>
      <c r="DA144" s="70">
        <v>785</v>
      </c>
      <c r="DB144" s="70">
        <v>714</v>
      </c>
      <c r="DC144" s="70">
        <v>769</v>
      </c>
      <c r="DD144" s="70">
        <v>727</v>
      </c>
      <c r="DE144" s="70">
        <v>744</v>
      </c>
      <c r="DF144" s="70">
        <v>803</v>
      </c>
      <c r="DG144" s="70">
        <v>828</v>
      </c>
      <c r="DH144" s="70">
        <v>1058</v>
      </c>
      <c r="DI144" s="70">
        <v>939</v>
      </c>
      <c r="DJ144" s="70">
        <v>808</v>
      </c>
      <c r="DK144" s="70">
        <v>802</v>
      </c>
      <c r="DL144" s="46">
        <v>848</v>
      </c>
      <c r="DM144" s="46">
        <v>775</v>
      </c>
      <c r="DN144" s="46">
        <v>813</v>
      </c>
      <c r="DO144" s="46">
        <v>798</v>
      </c>
      <c r="DP144" s="46">
        <v>791</v>
      </c>
      <c r="DQ144" s="46">
        <v>785</v>
      </c>
      <c r="DR144" s="46">
        <v>803</v>
      </c>
      <c r="DS144" s="46">
        <v>887</v>
      </c>
      <c r="DT144" s="46">
        <v>1008</v>
      </c>
      <c r="DU144" s="46">
        <v>877</v>
      </c>
      <c r="DV144" s="46">
        <v>924</v>
      </c>
      <c r="DW144" s="46">
        <v>963</v>
      </c>
      <c r="DX144" s="46">
        <v>912</v>
      </c>
      <c r="DY144" s="46">
        <v>902</v>
      </c>
      <c r="DZ144" s="46">
        <v>885</v>
      </c>
      <c r="EA144" s="46">
        <v>900</v>
      </c>
      <c r="EB144" s="46">
        <v>914</v>
      </c>
      <c r="EC144" s="46">
        <v>877</v>
      </c>
      <c r="ED144" s="46">
        <v>925</v>
      </c>
      <c r="EE144" s="46">
        <v>955</v>
      </c>
      <c r="EF144" s="46">
        <v>1047</v>
      </c>
      <c r="EG144" s="46">
        <v>948</v>
      </c>
      <c r="EH144" s="46">
        <v>907</v>
      </c>
      <c r="EI144" s="46">
        <v>873</v>
      </c>
      <c r="EJ144" s="46">
        <v>964</v>
      </c>
      <c r="EK144" s="46">
        <v>944</v>
      </c>
      <c r="EL144" s="46">
        <v>818</v>
      </c>
      <c r="EM144" s="46">
        <v>858</v>
      </c>
      <c r="EN144" s="46">
        <v>820</v>
      </c>
      <c r="EO144" s="46">
        <v>818</v>
      </c>
      <c r="EP144" s="46">
        <v>886</v>
      </c>
      <c r="EQ144" s="46">
        <v>965</v>
      </c>
      <c r="ER144" s="46">
        <v>1107</v>
      </c>
      <c r="ES144" s="46">
        <v>935</v>
      </c>
      <c r="ET144" s="46">
        <v>2728</v>
      </c>
      <c r="EU144" s="46">
        <v>2726</v>
      </c>
      <c r="EV144" s="46">
        <v>2496</v>
      </c>
      <c r="EW144" s="46">
        <v>2958</v>
      </c>
      <c r="EX144" s="71">
        <v>2905.8464732843213</v>
      </c>
      <c r="EY144" s="71">
        <v>2937.5622750622906</v>
      </c>
      <c r="EZ144" s="71">
        <v>2969.2780768402599</v>
      </c>
      <c r="FA144" s="71">
        <v>3000.9938786182292</v>
      </c>
      <c r="FB144" s="71">
        <v>3032.7096803961981</v>
      </c>
      <c r="FC144" s="71">
        <v>3064.425482174167</v>
      </c>
      <c r="FD144" s="71">
        <v>3096.1412839521363</v>
      </c>
      <c r="FE144" s="71">
        <v>3127.8570857301061</v>
      </c>
      <c r="FF144" s="72">
        <v>546554</v>
      </c>
      <c r="FG144" s="72">
        <v>547974</v>
      </c>
      <c r="FH144" s="476">
        <v>548729</v>
      </c>
      <c r="FI144" s="476">
        <v>552709.57199999993</v>
      </c>
      <c r="FJ144" s="476">
        <v>555744.10499999998</v>
      </c>
      <c r="FK144" s="476">
        <v>559083.10900000005</v>
      </c>
    </row>
    <row r="145" spans="1:167">
      <c r="A145" s="73" t="s">
        <v>918</v>
      </c>
      <c r="B145" s="19" t="s">
        <v>919</v>
      </c>
      <c r="C145" s="74" t="s">
        <v>790</v>
      </c>
      <c r="D145" s="75" t="s">
        <v>486</v>
      </c>
      <c r="E145" s="76">
        <v>140</v>
      </c>
      <c r="F145" s="77">
        <v>185</v>
      </c>
      <c r="G145" s="410">
        <v>170</v>
      </c>
      <c r="H145" s="78">
        <v>23885</v>
      </c>
      <c r="I145" s="77">
        <v>25110</v>
      </c>
      <c r="J145" s="410">
        <v>26140</v>
      </c>
      <c r="K145" s="410">
        <v>26947.357999999997</v>
      </c>
      <c r="L145" s="418">
        <v>27736.852999999999</v>
      </c>
      <c r="M145" s="79">
        <v>594.6</v>
      </c>
      <c r="N145" s="80">
        <v>740.7</v>
      </c>
      <c r="O145" s="421">
        <v>673</v>
      </c>
      <c r="P145" s="71">
        <v>167</v>
      </c>
      <c r="Q145" s="75" t="s">
        <v>486</v>
      </c>
      <c r="R145" s="81">
        <v>65</v>
      </c>
      <c r="S145" s="77">
        <v>30</v>
      </c>
      <c r="T145" s="452">
        <v>55</v>
      </c>
      <c r="U145" s="77">
        <v>75</v>
      </c>
      <c r="V145" s="77">
        <v>40</v>
      </c>
      <c r="W145" s="452">
        <v>60</v>
      </c>
      <c r="X145" s="82">
        <v>91.8</v>
      </c>
      <c r="Y145" s="83">
        <v>81.599999999999994</v>
      </c>
      <c r="Z145" s="443">
        <v>88.7</v>
      </c>
      <c r="AA145" s="63">
        <v>33</v>
      </c>
      <c r="AB145" s="63">
        <v>38</v>
      </c>
      <c r="AC145" s="19" t="s">
        <v>486</v>
      </c>
      <c r="AD145" s="84">
        <v>831</v>
      </c>
      <c r="AE145" s="85">
        <v>1245</v>
      </c>
      <c r="AF145" s="85">
        <v>904</v>
      </c>
      <c r="AG145" s="85">
        <v>744</v>
      </c>
      <c r="AH145" s="85">
        <v>686</v>
      </c>
      <c r="AI145" s="85">
        <v>479</v>
      </c>
      <c r="AJ145" s="85">
        <v>488</v>
      </c>
      <c r="AK145" s="85">
        <v>617</v>
      </c>
      <c r="AL145" s="96">
        <v>613</v>
      </c>
      <c r="AM145" s="96">
        <v>438</v>
      </c>
      <c r="AN145" s="96">
        <v>473</v>
      </c>
      <c r="AO145" s="96">
        <v>564</v>
      </c>
      <c r="AP145" s="96">
        <v>389</v>
      </c>
      <c r="AQ145" s="96">
        <v>586</v>
      </c>
      <c r="AR145" s="96">
        <v>655</v>
      </c>
      <c r="AS145" s="96">
        <v>669</v>
      </c>
      <c r="AT145" s="96">
        <v>667</v>
      </c>
      <c r="AU145" s="96">
        <v>746</v>
      </c>
      <c r="AV145" s="96">
        <v>476</v>
      </c>
      <c r="AW145" s="96">
        <v>644</v>
      </c>
      <c r="AX145" s="97">
        <v>797</v>
      </c>
      <c r="AY145" s="97">
        <v>1129</v>
      </c>
      <c r="AZ145" s="97">
        <v>1000</v>
      </c>
      <c r="BA145" s="97">
        <v>871</v>
      </c>
      <c r="BB145" s="97">
        <v>1116</v>
      </c>
      <c r="BC145" s="97">
        <v>791</v>
      </c>
      <c r="BD145" s="87">
        <v>722</v>
      </c>
      <c r="BE145" s="87">
        <v>702</v>
      </c>
      <c r="BF145" s="87">
        <v>519</v>
      </c>
      <c r="BG145" s="87">
        <v>440</v>
      </c>
      <c r="BH145" s="87">
        <v>473</v>
      </c>
      <c r="BI145" s="87">
        <v>459</v>
      </c>
      <c r="BJ145" s="87">
        <v>458</v>
      </c>
      <c r="BK145" s="87">
        <v>766</v>
      </c>
      <c r="BL145" s="87">
        <v>762</v>
      </c>
      <c r="BM145" s="87">
        <v>487</v>
      </c>
      <c r="BN145" s="87">
        <v>270</v>
      </c>
      <c r="BO145" s="87">
        <v>599</v>
      </c>
      <c r="BP145" s="87">
        <v>734</v>
      </c>
      <c r="BQ145" s="87">
        <v>737</v>
      </c>
      <c r="BR145" s="96">
        <v>540</v>
      </c>
      <c r="BS145" s="96">
        <v>838</v>
      </c>
      <c r="BT145" s="96">
        <v>346</v>
      </c>
      <c r="BU145" s="96">
        <v>592</v>
      </c>
      <c r="BV145" s="67">
        <v>1986</v>
      </c>
      <c r="BW145" s="67">
        <v>1356</v>
      </c>
      <c r="BX145" s="67">
        <v>2011</v>
      </c>
      <c r="BY145" s="67">
        <v>1776</v>
      </c>
      <c r="BZ145" s="68">
        <v>1755.8999999999999</v>
      </c>
      <c r="CA145" s="68">
        <v>1727.1000000000001</v>
      </c>
      <c r="CB145" s="68">
        <v>1698.3000000000002</v>
      </c>
      <c r="CC145" s="68">
        <v>1669.5</v>
      </c>
      <c r="CD145" s="68">
        <v>1640.6999999999998</v>
      </c>
      <c r="CE145" s="68">
        <v>1611.8999999999999</v>
      </c>
      <c r="CF145" s="68">
        <v>1583.1000000000001</v>
      </c>
      <c r="CG145" s="68">
        <v>1554.3000000000002</v>
      </c>
      <c r="CH145" s="87">
        <v>119000</v>
      </c>
      <c r="CI145" s="467">
        <v>119664</v>
      </c>
      <c r="CJ145" s="467">
        <v>120369.16400000008</v>
      </c>
      <c r="CK145" s="467">
        <v>121183.53000000004</v>
      </c>
      <c r="CL145" s="468">
        <v>121979.48299999999</v>
      </c>
      <c r="CM145" s="19" t="s">
        <v>486</v>
      </c>
      <c r="CN145" s="70">
        <v>171</v>
      </c>
      <c r="CO145" s="70">
        <v>169</v>
      </c>
      <c r="CP145" s="70">
        <v>125</v>
      </c>
      <c r="CQ145" s="70">
        <v>162</v>
      </c>
      <c r="CR145" s="70">
        <v>156</v>
      </c>
      <c r="CS145" s="70">
        <v>158</v>
      </c>
      <c r="CT145" s="70">
        <v>165</v>
      </c>
      <c r="CU145" s="70">
        <v>197</v>
      </c>
      <c r="CV145" s="70">
        <v>263</v>
      </c>
      <c r="CW145" s="70">
        <v>189</v>
      </c>
      <c r="CX145" s="70">
        <v>172</v>
      </c>
      <c r="CY145" s="70">
        <v>191</v>
      </c>
      <c r="CZ145" s="70">
        <v>177</v>
      </c>
      <c r="DA145" s="70">
        <v>185</v>
      </c>
      <c r="DB145" s="70">
        <v>154</v>
      </c>
      <c r="DC145" s="70">
        <v>174</v>
      </c>
      <c r="DD145" s="70">
        <v>173</v>
      </c>
      <c r="DE145" s="70">
        <v>177</v>
      </c>
      <c r="DF145" s="70">
        <v>203</v>
      </c>
      <c r="DG145" s="70">
        <v>192</v>
      </c>
      <c r="DH145" s="70">
        <v>253</v>
      </c>
      <c r="DI145" s="70">
        <v>202</v>
      </c>
      <c r="DJ145" s="70">
        <v>203</v>
      </c>
      <c r="DK145" s="70">
        <v>186</v>
      </c>
      <c r="DL145" s="46">
        <v>146</v>
      </c>
      <c r="DM145" s="46">
        <v>178</v>
      </c>
      <c r="DN145" s="46">
        <v>137</v>
      </c>
      <c r="DO145" s="46">
        <v>158</v>
      </c>
      <c r="DP145" s="46">
        <v>160</v>
      </c>
      <c r="DQ145" s="46">
        <v>148</v>
      </c>
      <c r="DR145" s="46">
        <v>174</v>
      </c>
      <c r="DS145" s="46">
        <v>189</v>
      </c>
      <c r="DT145" s="46">
        <v>214</v>
      </c>
      <c r="DU145" s="46">
        <v>169</v>
      </c>
      <c r="DV145" s="46">
        <v>174</v>
      </c>
      <c r="DW145" s="46">
        <v>192</v>
      </c>
      <c r="DX145" s="46">
        <v>162</v>
      </c>
      <c r="DY145" s="46">
        <v>180</v>
      </c>
      <c r="DZ145" s="46">
        <v>179</v>
      </c>
      <c r="EA145" s="46">
        <v>187</v>
      </c>
      <c r="EB145" s="46">
        <v>163</v>
      </c>
      <c r="EC145" s="46">
        <v>158</v>
      </c>
      <c r="ED145" s="46">
        <v>180</v>
      </c>
      <c r="EE145" s="46">
        <v>215</v>
      </c>
      <c r="EF145" s="46">
        <v>223</v>
      </c>
      <c r="EG145" s="46">
        <v>172</v>
      </c>
      <c r="EH145" s="46">
        <v>169</v>
      </c>
      <c r="EI145" s="46">
        <v>179</v>
      </c>
      <c r="EJ145" s="46">
        <v>241</v>
      </c>
      <c r="EK145" s="46">
        <v>183</v>
      </c>
      <c r="EL145" s="46">
        <v>160</v>
      </c>
      <c r="EM145" s="46">
        <v>166</v>
      </c>
      <c r="EN145" s="46">
        <v>187</v>
      </c>
      <c r="EO145" s="46">
        <v>192</v>
      </c>
      <c r="EP145" s="46">
        <v>207</v>
      </c>
      <c r="EQ145" s="46">
        <v>179</v>
      </c>
      <c r="ER145" s="46">
        <v>227</v>
      </c>
      <c r="ES145" s="46">
        <v>164</v>
      </c>
      <c r="ET145" s="46">
        <v>520</v>
      </c>
      <c r="EU145" s="46">
        <v>584</v>
      </c>
      <c r="EV145" s="46">
        <v>545</v>
      </c>
      <c r="EW145" s="46">
        <v>613</v>
      </c>
      <c r="EX145" s="71">
        <v>567.76926389615187</v>
      </c>
      <c r="EY145" s="71">
        <v>570.00313759266658</v>
      </c>
      <c r="EZ145" s="71">
        <v>572.2370112891814</v>
      </c>
      <c r="FA145" s="71">
        <v>574.47088498569633</v>
      </c>
      <c r="FB145" s="71">
        <v>576.70475868221104</v>
      </c>
      <c r="FC145" s="71">
        <v>578.93863237872586</v>
      </c>
      <c r="FD145" s="71">
        <v>581.17250607524068</v>
      </c>
      <c r="FE145" s="71">
        <v>583.4063797717555</v>
      </c>
      <c r="FF145" s="72">
        <v>154148</v>
      </c>
      <c r="FG145" s="72">
        <v>154486</v>
      </c>
      <c r="FH145" s="476">
        <v>155392</v>
      </c>
      <c r="FI145" s="476">
        <v>156254.67199999999</v>
      </c>
      <c r="FJ145" s="476">
        <v>157230.783</v>
      </c>
      <c r="FK145" s="476">
        <v>158256.07199999999</v>
      </c>
    </row>
    <row r="146" spans="1:167">
      <c r="A146" s="73" t="s">
        <v>924</v>
      </c>
      <c r="B146" s="19" t="s">
        <v>925</v>
      </c>
      <c r="C146" s="74" t="s">
        <v>791</v>
      </c>
      <c r="D146" s="75" t="s">
        <v>489</v>
      </c>
      <c r="E146" s="76">
        <v>935</v>
      </c>
      <c r="F146" s="77">
        <v>1635</v>
      </c>
      <c r="G146" s="410">
        <v>1095</v>
      </c>
      <c r="H146" s="78">
        <v>168055</v>
      </c>
      <c r="I146" s="77">
        <v>174450</v>
      </c>
      <c r="J146" s="410">
        <v>179275</v>
      </c>
      <c r="K146" s="410">
        <v>183606.4329999999</v>
      </c>
      <c r="L146" s="418">
        <v>187443.34599999987</v>
      </c>
      <c r="M146" s="79">
        <v>557.6</v>
      </c>
      <c r="N146" s="80">
        <v>936.1</v>
      </c>
      <c r="O146" s="421">
        <v>627.70000000000005</v>
      </c>
      <c r="P146" s="71">
        <v>1199.25</v>
      </c>
      <c r="Q146" s="75" t="s">
        <v>489</v>
      </c>
      <c r="R146" s="81">
        <v>440</v>
      </c>
      <c r="S146" s="77">
        <v>310</v>
      </c>
      <c r="T146" s="452">
        <v>200</v>
      </c>
      <c r="U146" s="77">
        <v>505</v>
      </c>
      <c r="V146" s="77">
        <v>345</v>
      </c>
      <c r="W146" s="452">
        <v>270</v>
      </c>
      <c r="X146" s="82">
        <v>87.3</v>
      </c>
      <c r="Y146" s="83">
        <v>91</v>
      </c>
      <c r="Z146" s="443">
        <v>74.400000000000006</v>
      </c>
      <c r="AA146" s="63">
        <v>326.35030094582976</v>
      </c>
      <c r="AB146" s="63">
        <v>363.19630266552019</v>
      </c>
      <c r="AC146" s="19" t="s">
        <v>489</v>
      </c>
      <c r="AD146" s="84">
        <v>3184</v>
      </c>
      <c r="AE146" s="85">
        <v>2790</v>
      </c>
      <c r="AF146" s="85">
        <v>2364</v>
      </c>
      <c r="AG146" s="85">
        <v>2653</v>
      </c>
      <c r="AH146" s="85">
        <v>2845</v>
      </c>
      <c r="AI146" s="85">
        <v>2458</v>
      </c>
      <c r="AJ146" s="85">
        <v>2479</v>
      </c>
      <c r="AK146" s="85">
        <v>2782</v>
      </c>
      <c r="AL146" s="96">
        <v>2754</v>
      </c>
      <c r="AM146" s="96">
        <v>2904</v>
      </c>
      <c r="AN146" s="96">
        <v>3238</v>
      </c>
      <c r="AO146" s="96">
        <v>2873</v>
      </c>
      <c r="AP146" s="96">
        <v>2572</v>
      </c>
      <c r="AQ146" s="96">
        <v>3014</v>
      </c>
      <c r="AR146" s="96">
        <v>3116</v>
      </c>
      <c r="AS146" s="96">
        <v>3048</v>
      </c>
      <c r="AT146" s="96">
        <v>2714</v>
      </c>
      <c r="AU146" s="96">
        <v>2860</v>
      </c>
      <c r="AV146" s="96">
        <v>2834</v>
      </c>
      <c r="AW146" s="96">
        <v>2727</v>
      </c>
      <c r="AX146" s="97">
        <v>2295</v>
      </c>
      <c r="AY146" s="97">
        <v>2863</v>
      </c>
      <c r="AZ146" s="97">
        <v>2664</v>
      </c>
      <c r="BA146" s="97">
        <v>2268</v>
      </c>
      <c r="BB146" s="97">
        <v>2157</v>
      </c>
      <c r="BC146" s="97">
        <v>2323</v>
      </c>
      <c r="BD146" s="87">
        <v>2022</v>
      </c>
      <c r="BE146" s="87">
        <v>1945</v>
      </c>
      <c r="BF146" s="87">
        <v>2278</v>
      </c>
      <c r="BG146" s="87">
        <v>2682</v>
      </c>
      <c r="BH146" s="87">
        <v>1957</v>
      </c>
      <c r="BI146" s="87">
        <v>2109</v>
      </c>
      <c r="BJ146" s="87">
        <v>2249</v>
      </c>
      <c r="BK146" s="87">
        <v>3000</v>
      </c>
      <c r="BL146" s="87">
        <v>2695</v>
      </c>
      <c r="BM146" s="87">
        <v>2530</v>
      </c>
      <c r="BN146" s="87">
        <v>2835</v>
      </c>
      <c r="BO146" s="87">
        <v>2770</v>
      </c>
      <c r="BP146" s="87">
        <v>2702</v>
      </c>
      <c r="BQ146" s="87">
        <v>2720</v>
      </c>
      <c r="BR146" s="96">
        <v>2308</v>
      </c>
      <c r="BS146" s="96">
        <v>2216</v>
      </c>
      <c r="BT146" s="96">
        <v>2283</v>
      </c>
      <c r="BU146" s="96">
        <v>2109</v>
      </c>
      <c r="BV146" s="67">
        <v>7944</v>
      </c>
      <c r="BW146" s="67">
        <v>8135</v>
      </c>
      <c r="BX146" s="67">
        <v>7730</v>
      </c>
      <c r="BY146" s="67">
        <v>6608</v>
      </c>
      <c r="BZ146" s="68">
        <v>6955.1196617336154</v>
      </c>
      <c r="CA146" s="68">
        <v>6849.0991543340388</v>
      </c>
      <c r="CB146" s="68">
        <v>6743.0786469344621</v>
      </c>
      <c r="CC146" s="68">
        <v>6637.0581395348845</v>
      </c>
      <c r="CD146" s="68">
        <v>6531.0376321353069</v>
      </c>
      <c r="CE146" s="68">
        <v>6425.0171247357302</v>
      </c>
      <c r="CF146" s="68">
        <v>6318.9966173361536</v>
      </c>
      <c r="CG146" s="68">
        <v>6212.976109936576</v>
      </c>
      <c r="CH146" s="87">
        <v>649100</v>
      </c>
      <c r="CI146" s="467">
        <v>653832</v>
      </c>
      <c r="CJ146" s="467">
        <v>658976.03500000003</v>
      </c>
      <c r="CK146" s="467">
        <v>664414.67100000044</v>
      </c>
      <c r="CL146" s="468">
        <v>670182.59400000062</v>
      </c>
      <c r="CM146" s="19" t="s">
        <v>489</v>
      </c>
      <c r="CN146" s="70">
        <v>610</v>
      </c>
      <c r="CO146" s="70">
        <v>537</v>
      </c>
      <c r="CP146" s="70">
        <v>570</v>
      </c>
      <c r="CQ146" s="70">
        <v>522</v>
      </c>
      <c r="CR146" s="70">
        <v>489</v>
      </c>
      <c r="CS146" s="70">
        <v>539</v>
      </c>
      <c r="CT146" s="70">
        <v>672</v>
      </c>
      <c r="CU146" s="70">
        <v>706</v>
      </c>
      <c r="CV146" s="70">
        <v>871</v>
      </c>
      <c r="CW146" s="70">
        <v>678</v>
      </c>
      <c r="CX146" s="70">
        <v>741</v>
      </c>
      <c r="CY146" s="70">
        <v>676</v>
      </c>
      <c r="CZ146" s="70">
        <v>655</v>
      </c>
      <c r="DA146" s="70">
        <v>611</v>
      </c>
      <c r="DB146" s="70">
        <v>588</v>
      </c>
      <c r="DC146" s="70">
        <v>630</v>
      </c>
      <c r="DD146" s="70">
        <v>931</v>
      </c>
      <c r="DE146" s="70">
        <v>1059</v>
      </c>
      <c r="DF146" s="70">
        <v>644</v>
      </c>
      <c r="DG146" s="70">
        <v>612</v>
      </c>
      <c r="DH146" s="70">
        <v>1362</v>
      </c>
      <c r="DI146" s="70">
        <v>1134</v>
      </c>
      <c r="DJ146" s="70">
        <v>1054</v>
      </c>
      <c r="DK146" s="70">
        <v>1124</v>
      </c>
      <c r="DL146" s="46">
        <v>1085</v>
      </c>
      <c r="DM146" s="46">
        <v>1049</v>
      </c>
      <c r="DN146" s="46">
        <v>1018</v>
      </c>
      <c r="DO146" s="46">
        <v>1045</v>
      </c>
      <c r="DP146" s="46">
        <v>1013</v>
      </c>
      <c r="DQ146" s="46">
        <v>1074</v>
      </c>
      <c r="DR146" s="46">
        <v>1049</v>
      </c>
      <c r="DS146" s="46">
        <v>1152</v>
      </c>
      <c r="DT146" s="46">
        <v>1351</v>
      </c>
      <c r="DU146" s="46">
        <v>1164</v>
      </c>
      <c r="DV146" s="46">
        <v>1309</v>
      </c>
      <c r="DW146" s="46">
        <v>1255</v>
      </c>
      <c r="DX146" s="46">
        <v>1215</v>
      </c>
      <c r="DY146" s="46">
        <v>1101</v>
      </c>
      <c r="DZ146" s="46">
        <v>1018</v>
      </c>
      <c r="EA146" s="46">
        <v>1093</v>
      </c>
      <c r="EB146" s="46">
        <v>1055</v>
      </c>
      <c r="EC146" s="46">
        <v>950</v>
      </c>
      <c r="ED146" s="46">
        <v>1162</v>
      </c>
      <c r="EE146" s="46">
        <v>1204</v>
      </c>
      <c r="EF146" s="46">
        <v>1370</v>
      </c>
      <c r="EG146" s="46">
        <v>1154</v>
      </c>
      <c r="EH146" s="46">
        <v>1097</v>
      </c>
      <c r="EI146" s="46">
        <v>1119</v>
      </c>
      <c r="EJ146" s="46">
        <v>1110</v>
      </c>
      <c r="EK146" s="46">
        <v>1018</v>
      </c>
      <c r="EL146" s="46">
        <v>985</v>
      </c>
      <c r="EM146" s="46">
        <v>955</v>
      </c>
      <c r="EN146" s="46">
        <v>987</v>
      </c>
      <c r="EO146" s="46">
        <v>1048</v>
      </c>
      <c r="EP146" s="46">
        <v>1116</v>
      </c>
      <c r="EQ146" s="46">
        <v>1225</v>
      </c>
      <c r="ER146" s="46">
        <v>1349</v>
      </c>
      <c r="ES146" s="46">
        <v>1051</v>
      </c>
      <c r="ET146" s="46">
        <v>3370</v>
      </c>
      <c r="EU146" s="46">
        <v>3113</v>
      </c>
      <c r="EV146" s="46">
        <v>2990</v>
      </c>
      <c r="EW146" s="46">
        <v>3690</v>
      </c>
      <c r="EX146" s="71">
        <v>3957.2152019440773</v>
      </c>
      <c r="EY146" s="71">
        <v>4055.3088067919653</v>
      </c>
      <c r="EZ146" s="71">
        <v>4153.4024116398532</v>
      </c>
      <c r="FA146" s="71">
        <v>4251.4960164877421</v>
      </c>
      <c r="FB146" s="71">
        <v>4349.58962133563</v>
      </c>
      <c r="FC146" s="71">
        <v>4447.6832261835189</v>
      </c>
      <c r="FD146" s="71">
        <v>4545.7768310314059</v>
      </c>
      <c r="FE146" s="71">
        <v>4643.8704358792947</v>
      </c>
      <c r="FF146" s="72">
        <v>808919</v>
      </c>
      <c r="FG146" s="72">
        <v>815119</v>
      </c>
      <c r="FH146" s="476">
        <v>821356</v>
      </c>
      <c r="FI146" s="476">
        <v>826881.13600000006</v>
      </c>
      <c r="FJ146" s="476">
        <v>833315.34199999995</v>
      </c>
      <c r="FK146" s="476">
        <v>840098.10600000003</v>
      </c>
    </row>
    <row r="147" spans="1:167">
      <c r="A147" s="73" t="s">
        <v>922</v>
      </c>
      <c r="B147" s="19" t="s">
        <v>923</v>
      </c>
      <c r="C147" s="74" t="s">
        <v>792</v>
      </c>
      <c r="D147" s="75" t="s">
        <v>492</v>
      </c>
      <c r="E147" s="76">
        <v>180</v>
      </c>
      <c r="F147" s="77">
        <v>120</v>
      </c>
      <c r="G147" s="410">
        <v>105</v>
      </c>
      <c r="H147" s="78">
        <v>24625</v>
      </c>
      <c r="I147" s="77">
        <v>25385</v>
      </c>
      <c r="J147" s="410">
        <v>26375</v>
      </c>
      <c r="K147" s="410">
        <v>26574.498000000003</v>
      </c>
      <c r="L147" s="418">
        <v>27162.895000000004</v>
      </c>
      <c r="M147" s="79">
        <v>735.1</v>
      </c>
      <c r="N147" s="80">
        <v>472.7</v>
      </c>
      <c r="O147" s="421">
        <v>417.5</v>
      </c>
      <c r="P147" s="71">
        <v>122</v>
      </c>
      <c r="Q147" s="75" t="s">
        <v>492</v>
      </c>
      <c r="R147" s="81">
        <v>120</v>
      </c>
      <c r="S147" s="77">
        <v>180</v>
      </c>
      <c r="T147" s="452">
        <v>325</v>
      </c>
      <c r="U147" s="77">
        <v>170</v>
      </c>
      <c r="V147" s="77">
        <v>210</v>
      </c>
      <c r="W147" s="452">
        <v>355</v>
      </c>
      <c r="X147" s="82">
        <v>70.2</v>
      </c>
      <c r="Y147" s="83">
        <v>86.1</v>
      </c>
      <c r="Z147" s="443">
        <v>92.4</v>
      </c>
      <c r="AA147" s="63">
        <v>182</v>
      </c>
      <c r="AB147" s="63">
        <v>208</v>
      </c>
      <c r="AC147" s="19" t="s">
        <v>492</v>
      </c>
      <c r="AD147" s="84">
        <v>514</v>
      </c>
      <c r="AE147" s="85">
        <v>579</v>
      </c>
      <c r="AF147" s="85">
        <v>351</v>
      </c>
      <c r="AG147" s="85">
        <v>353</v>
      </c>
      <c r="AH147" s="85">
        <v>311</v>
      </c>
      <c r="AI147" s="85">
        <v>294</v>
      </c>
      <c r="AJ147" s="85">
        <v>253</v>
      </c>
      <c r="AK147" s="85">
        <v>282</v>
      </c>
      <c r="AL147" s="96">
        <v>180</v>
      </c>
      <c r="AM147" s="96">
        <v>209</v>
      </c>
      <c r="AN147" s="96">
        <v>169</v>
      </c>
      <c r="AO147" s="96">
        <v>203</v>
      </c>
      <c r="AP147" s="96">
        <v>292</v>
      </c>
      <c r="AQ147" s="96">
        <v>362</v>
      </c>
      <c r="AR147" s="96">
        <v>295</v>
      </c>
      <c r="AS147" s="96">
        <v>227</v>
      </c>
      <c r="AT147" s="96">
        <v>264</v>
      </c>
      <c r="AU147" s="96">
        <v>307</v>
      </c>
      <c r="AV147" s="96">
        <v>433</v>
      </c>
      <c r="AW147" s="96">
        <v>453</v>
      </c>
      <c r="AX147" s="97">
        <v>546</v>
      </c>
      <c r="AY147" s="97">
        <v>627</v>
      </c>
      <c r="AZ147" s="97">
        <v>559</v>
      </c>
      <c r="BA147" s="97">
        <v>452</v>
      </c>
      <c r="BB147" s="97">
        <v>317</v>
      </c>
      <c r="BC147" s="97">
        <v>314</v>
      </c>
      <c r="BD147" s="87">
        <v>544</v>
      </c>
      <c r="BE147" s="87">
        <v>457</v>
      </c>
      <c r="BF147" s="87">
        <v>316</v>
      </c>
      <c r="BG147" s="87">
        <v>536</v>
      </c>
      <c r="BH147" s="87">
        <v>476</v>
      </c>
      <c r="BI147" s="87">
        <v>467</v>
      </c>
      <c r="BJ147" s="87">
        <v>624</v>
      </c>
      <c r="BK147" s="87">
        <v>786</v>
      </c>
      <c r="BL147" s="87">
        <v>511</v>
      </c>
      <c r="BM147" s="87">
        <v>328</v>
      </c>
      <c r="BN147" s="87">
        <v>362</v>
      </c>
      <c r="BO147" s="87">
        <v>270</v>
      </c>
      <c r="BP147" s="87">
        <v>308</v>
      </c>
      <c r="BQ147" s="87">
        <v>210</v>
      </c>
      <c r="BR147" s="96">
        <v>485</v>
      </c>
      <c r="BS147" s="96">
        <v>602</v>
      </c>
      <c r="BT147" s="96">
        <v>452</v>
      </c>
      <c r="BU147" s="96">
        <v>591</v>
      </c>
      <c r="BV147" s="67">
        <v>1921</v>
      </c>
      <c r="BW147" s="67">
        <v>960</v>
      </c>
      <c r="BX147" s="67">
        <v>1003</v>
      </c>
      <c r="BY147" s="67">
        <v>1645</v>
      </c>
      <c r="BZ147" s="68">
        <v>1487.100845665962</v>
      </c>
      <c r="CA147" s="68">
        <v>1524.8748414376321</v>
      </c>
      <c r="CB147" s="68">
        <v>1562.6488372093022</v>
      </c>
      <c r="CC147" s="68">
        <v>1600.4228329809725</v>
      </c>
      <c r="CD147" s="68">
        <v>1638.1968287526429</v>
      </c>
      <c r="CE147" s="68">
        <v>1675.9708245243132</v>
      </c>
      <c r="CF147" s="68">
        <v>1713.7448202959833</v>
      </c>
      <c r="CG147" s="68">
        <v>1751.5188160676535</v>
      </c>
      <c r="CH147" s="87">
        <v>186300</v>
      </c>
      <c r="CI147" s="467">
        <v>187732</v>
      </c>
      <c r="CJ147" s="467">
        <v>190566.177</v>
      </c>
      <c r="CK147" s="467">
        <v>192643.72400000007</v>
      </c>
      <c r="CL147" s="468">
        <v>195040.99299999999</v>
      </c>
      <c r="CM147" s="19" t="s">
        <v>492</v>
      </c>
      <c r="CN147" s="70">
        <v>256</v>
      </c>
      <c r="CO147" s="70">
        <v>276</v>
      </c>
      <c r="CP147" s="70">
        <v>251</v>
      </c>
      <c r="CQ147" s="70">
        <v>233</v>
      </c>
      <c r="CR147" s="70">
        <v>257</v>
      </c>
      <c r="CS147" s="70">
        <v>264</v>
      </c>
      <c r="CT147" s="70">
        <v>296</v>
      </c>
      <c r="CU147" s="70">
        <v>313</v>
      </c>
      <c r="CV147" s="70">
        <v>354</v>
      </c>
      <c r="CW147" s="70">
        <v>314</v>
      </c>
      <c r="CX147" s="70">
        <v>298</v>
      </c>
      <c r="CY147" s="70">
        <v>270</v>
      </c>
      <c r="CZ147" s="70">
        <v>320</v>
      </c>
      <c r="DA147" s="70">
        <v>320</v>
      </c>
      <c r="DB147" s="70">
        <v>310</v>
      </c>
      <c r="DC147" s="70">
        <v>270</v>
      </c>
      <c r="DD147" s="70">
        <v>270</v>
      </c>
      <c r="DE147" s="70">
        <v>311</v>
      </c>
      <c r="DF147" s="70">
        <v>325</v>
      </c>
      <c r="DG147" s="70">
        <v>295</v>
      </c>
      <c r="DH147" s="70">
        <v>404</v>
      </c>
      <c r="DI147" s="70">
        <v>322</v>
      </c>
      <c r="DJ147" s="70">
        <v>326</v>
      </c>
      <c r="DK147" s="70">
        <v>284</v>
      </c>
      <c r="DL147" s="46">
        <v>330</v>
      </c>
      <c r="DM147" s="46">
        <v>267</v>
      </c>
      <c r="DN147" s="46">
        <v>252</v>
      </c>
      <c r="DO147" s="46">
        <v>267</v>
      </c>
      <c r="DP147" s="46">
        <v>255</v>
      </c>
      <c r="DQ147" s="46">
        <v>245</v>
      </c>
      <c r="DR147" s="46">
        <v>301</v>
      </c>
      <c r="DS147" s="46">
        <v>305</v>
      </c>
      <c r="DT147" s="46">
        <v>338</v>
      </c>
      <c r="DU147" s="46">
        <v>317</v>
      </c>
      <c r="DV147" s="46">
        <v>330</v>
      </c>
      <c r="DW147" s="46">
        <v>272</v>
      </c>
      <c r="DX147" s="46">
        <v>282</v>
      </c>
      <c r="DY147" s="46">
        <v>291</v>
      </c>
      <c r="DZ147" s="46">
        <v>298</v>
      </c>
      <c r="EA147" s="46">
        <v>260</v>
      </c>
      <c r="EB147" s="46">
        <v>274</v>
      </c>
      <c r="EC147" s="46">
        <v>273</v>
      </c>
      <c r="ED147" s="46">
        <v>277</v>
      </c>
      <c r="EE147" s="46">
        <v>317</v>
      </c>
      <c r="EF147" s="46">
        <v>308</v>
      </c>
      <c r="EG147" s="46">
        <v>272</v>
      </c>
      <c r="EH147" s="46">
        <v>283</v>
      </c>
      <c r="EI147" s="46">
        <v>266</v>
      </c>
      <c r="EJ147" s="46">
        <v>300</v>
      </c>
      <c r="EK147" s="46">
        <v>281</v>
      </c>
      <c r="EL147" s="46">
        <v>248</v>
      </c>
      <c r="EM147" s="46">
        <v>237</v>
      </c>
      <c r="EN147" s="46">
        <v>247</v>
      </c>
      <c r="EO147" s="46">
        <v>248</v>
      </c>
      <c r="EP147" s="46">
        <v>302</v>
      </c>
      <c r="EQ147" s="46">
        <v>266</v>
      </c>
      <c r="ER147" s="46">
        <v>294</v>
      </c>
      <c r="ES147" s="46">
        <v>256</v>
      </c>
      <c r="ET147" s="46">
        <v>821</v>
      </c>
      <c r="EU147" s="46">
        <v>829</v>
      </c>
      <c r="EV147" s="46">
        <v>732</v>
      </c>
      <c r="EW147" s="46">
        <v>862</v>
      </c>
      <c r="EX147" s="71">
        <v>829.85302531606612</v>
      </c>
      <c r="EY147" s="71">
        <v>826.72964409855729</v>
      </c>
      <c r="EZ147" s="71">
        <v>823.60626288104822</v>
      </c>
      <c r="FA147" s="71">
        <v>820.48288166353927</v>
      </c>
      <c r="FB147" s="71">
        <v>817.35950044603032</v>
      </c>
      <c r="FC147" s="71">
        <v>814.23611922852126</v>
      </c>
      <c r="FD147" s="71">
        <v>811.1127380110122</v>
      </c>
      <c r="FE147" s="71">
        <v>807.98935679350325</v>
      </c>
      <c r="FF147" s="72">
        <v>219582</v>
      </c>
      <c r="FG147" s="72">
        <v>223858</v>
      </c>
      <c r="FH147" s="476">
        <v>226841</v>
      </c>
      <c r="FI147" s="476">
        <v>229875.47399999999</v>
      </c>
      <c r="FJ147" s="476">
        <v>232630.30799999999</v>
      </c>
      <c r="FK147" s="476">
        <v>235761.198</v>
      </c>
    </row>
    <row r="148" spans="1:167">
      <c r="A148" s="73" t="s">
        <v>913</v>
      </c>
      <c r="B148" s="19" t="s">
        <v>914</v>
      </c>
      <c r="C148" s="74" t="s">
        <v>793</v>
      </c>
      <c r="D148" s="75" t="s">
        <v>495</v>
      </c>
      <c r="E148" s="76">
        <v>390</v>
      </c>
      <c r="F148" s="77">
        <v>395</v>
      </c>
      <c r="G148" s="410">
        <v>440</v>
      </c>
      <c r="H148" s="78">
        <v>52040</v>
      </c>
      <c r="I148" s="77">
        <v>54465</v>
      </c>
      <c r="J148" s="410">
        <v>56266</v>
      </c>
      <c r="K148" s="410">
        <v>57940.526000000013</v>
      </c>
      <c r="L148" s="418">
        <v>59328.164999999994</v>
      </c>
      <c r="M148" s="79">
        <v>747.5</v>
      </c>
      <c r="N148" s="80">
        <v>728.9</v>
      </c>
      <c r="O148" s="421">
        <v>811.5</v>
      </c>
      <c r="P148" s="71">
        <v>440</v>
      </c>
      <c r="Q148" s="75" t="s">
        <v>495</v>
      </c>
      <c r="R148" s="81">
        <v>220</v>
      </c>
      <c r="S148" s="77">
        <v>230</v>
      </c>
      <c r="T148" s="452">
        <v>225</v>
      </c>
      <c r="U148" s="77">
        <v>285</v>
      </c>
      <c r="V148" s="77">
        <v>285</v>
      </c>
      <c r="W148" s="452">
        <v>285</v>
      </c>
      <c r="X148" s="82">
        <v>77</v>
      </c>
      <c r="Y148" s="83">
        <v>81.099999999999994</v>
      </c>
      <c r="Z148" s="443">
        <v>78.7</v>
      </c>
      <c r="AA148" s="63">
        <v>235</v>
      </c>
      <c r="AB148" s="63">
        <v>286</v>
      </c>
      <c r="AC148" s="19" t="s">
        <v>495</v>
      </c>
      <c r="AD148" s="84">
        <v>340</v>
      </c>
      <c r="AE148" s="85">
        <v>386</v>
      </c>
      <c r="AF148" s="85">
        <v>322</v>
      </c>
      <c r="AG148" s="85">
        <v>556</v>
      </c>
      <c r="AH148" s="85">
        <v>578</v>
      </c>
      <c r="AI148" s="85">
        <v>618</v>
      </c>
      <c r="AJ148" s="85">
        <v>548</v>
      </c>
      <c r="AK148" s="85">
        <v>688</v>
      </c>
      <c r="AL148" s="96">
        <v>606</v>
      </c>
      <c r="AM148" s="96">
        <v>759</v>
      </c>
      <c r="AN148" s="96">
        <v>595</v>
      </c>
      <c r="AO148" s="96">
        <v>450</v>
      </c>
      <c r="AP148" s="96">
        <v>466</v>
      </c>
      <c r="AQ148" s="96">
        <v>530</v>
      </c>
      <c r="AR148" s="96">
        <v>211</v>
      </c>
      <c r="AS148" s="96">
        <v>452</v>
      </c>
      <c r="AT148" s="96">
        <v>453</v>
      </c>
      <c r="AU148" s="96">
        <v>439</v>
      </c>
      <c r="AV148" s="96">
        <v>337</v>
      </c>
      <c r="AW148" s="96">
        <v>276</v>
      </c>
      <c r="AX148" s="97">
        <v>374</v>
      </c>
      <c r="AY148" s="97">
        <v>482</v>
      </c>
      <c r="AZ148" s="97">
        <v>462</v>
      </c>
      <c r="BA148" s="97">
        <v>450</v>
      </c>
      <c r="BB148" s="97">
        <v>471</v>
      </c>
      <c r="BC148" s="97">
        <v>321</v>
      </c>
      <c r="BD148" s="87">
        <v>290</v>
      </c>
      <c r="BE148" s="87">
        <v>349</v>
      </c>
      <c r="BF148" s="87">
        <v>223</v>
      </c>
      <c r="BG148" s="87">
        <v>297</v>
      </c>
      <c r="BH148" s="87">
        <v>287</v>
      </c>
      <c r="BI148" s="87">
        <v>163</v>
      </c>
      <c r="BJ148" s="87">
        <v>282</v>
      </c>
      <c r="BK148" s="87">
        <v>590</v>
      </c>
      <c r="BL148" s="87">
        <v>494</v>
      </c>
      <c r="BM148" s="87">
        <v>401</v>
      </c>
      <c r="BN148" s="87">
        <v>554</v>
      </c>
      <c r="BO148" s="87">
        <v>429</v>
      </c>
      <c r="BP148" s="87">
        <v>359</v>
      </c>
      <c r="BQ148" s="87">
        <v>306</v>
      </c>
      <c r="BR148" s="96">
        <v>338</v>
      </c>
      <c r="BS148" s="96">
        <v>460</v>
      </c>
      <c r="BT148" s="96">
        <v>380</v>
      </c>
      <c r="BU148" s="96">
        <v>336</v>
      </c>
      <c r="BV148" s="67">
        <v>1366</v>
      </c>
      <c r="BW148" s="67">
        <v>1384</v>
      </c>
      <c r="BX148" s="67">
        <v>1003</v>
      </c>
      <c r="BY148" s="67">
        <v>1176</v>
      </c>
      <c r="BZ148" s="68">
        <v>989.69006342494686</v>
      </c>
      <c r="CA148" s="68">
        <v>953.19788583509489</v>
      </c>
      <c r="CB148" s="68">
        <v>916.70570824524304</v>
      </c>
      <c r="CC148" s="68">
        <v>880.21353065539097</v>
      </c>
      <c r="CD148" s="68">
        <v>843.72135306553889</v>
      </c>
      <c r="CE148" s="68">
        <v>807.22917547568682</v>
      </c>
      <c r="CF148" s="68">
        <v>770.73699788583485</v>
      </c>
      <c r="CG148" s="68">
        <v>734.24482029598289</v>
      </c>
      <c r="CH148" s="87">
        <v>251000</v>
      </c>
      <c r="CI148" s="467">
        <v>251917</v>
      </c>
      <c r="CJ148" s="467">
        <v>254212.59699999998</v>
      </c>
      <c r="CK148" s="467">
        <v>255842.22999999995</v>
      </c>
      <c r="CL148" s="468">
        <v>257234.56999999998</v>
      </c>
      <c r="CM148" s="19" t="s">
        <v>495</v>
      </c>
      <c r="CN148" s="70">
        <v>666</v>
      </c>
      <c r="CO148" s="70">
        <v>611</v>
      </c>
      <c r="CP148" s="70">
        <v>599</v>
      </c>
      <c r="CQ148" s="70">
        <v>556</v>
      </c>
      <c r="CR148" s="70">
        <v>565</v>
      </c>
      <c r="CS148" s="70">
        <v>562</v>
      </c>
      <c r="CT148" s="70">
        <v>659</v>
      </c>
      <c r="CU148" s="70">
        <v>721</v>
      </c>
      <c r="CV148" s="70">
        <v>742</v>
      </c>
      <c r="CW148" s="70">
        <v>657</v>
      </c>
      <c r="CX148" s="70">
        <v>647</v>
      </c>
      <c r="CY148" s="70">
        <v>703</v>
      </c>
      <c r="CZ148" s="70">
        <v>602</v>
      </c>
      <c r="DA148" s="70">
        <v>626</v>
      </c>
      <c r="DB148" s="70">
        <v>640</v>
      </c>
      <c r="DC148" s="70">
        <v>615</v>
      </c>
      <c r="DD148" s="70">
        <v>619</v>
      </c>
      <c r="DE148" s="70">
        <v>631</v>
      </c>
      <c r="DF148" s="70">
        <v>611</v>
      </c>
      <c r="DG148" s="70">
        <v>632</v>
      </c>
      <c r="DH148" s="70">
        <v>827</v>
      </c>
      <c r="DI148" s="70">
        <v>789</v>
      </c>
      <c r="DJ148" s="70">
        <v>647</v>
      </c>
      <c r="DK148" s="70">
        <v>687</v>
      </c>
      <c r="DL148" s="46">
        <v>637</v>
      </c>
      <c r="DM148" s="46">
        <v>634</v>
      </c>
      <c r="DN148" s="46">
        <v>667</v>
      </c>
      <c r="DO148" s="46">
        <v>639</v>
      </c>
      <c r="DP148" s="46">
        <v>640</v>
      </c>
      <c r="DQ148" s="46">
        <v>636</v>
      </c>
      <c r="DR148" s="46">
        <v>625</v>
      </c>
      <c r="DS148" s="46">
        <v>653</v>
      </c>
      <c r="DT148" s="46">
        <v>734</v>
      </c>
      <c r="DU148" s="46">
        <v>677</v>
      </c>
      <c r="DV148" s="46">
        <v>666</v>
      </c>
      <c r="DW148" s="46">
        <v>657</v>
      </c>
      <c r="DX148" s="46">
        <v>759</v>
      </c>
      <c r="DY148" s="46">
        <v>647</v>
      </c>
      <c r="DZ148" s="46">
        <v>628</v>
      </c>
      <c r="EA148" s="46">
        <v>694</v>
      </c>
      <c r="EB148" s="46">
        <v>648</v>
      </c>
      <c r="EC148" s="46">
        <v>626</v>
      </c>
      <c r="ED148" s="46">
        <v>719</v>
      </c>
      <c r="EE148" s="46">
        <v>652</v>
      </c>
      <c r="EF148" s="46">
        <v>731</v>
      </c>
      <c r="EG148" s="46">
        <v>696</v>
      </c>
      <c r="EH148" s="46">
        <v>640</v>
      </c>
      <c r="EI148" s="46">
        <v>674</v>
      </c>
      <c r="EJ148" s="46">
        <v>637</v>
      </c>
      <c r="EK148" s="46">
        <v>576</v>
      </c>
      <c r="EL148" s="46">
        <v>549</v>
      </c>
      <c r="EM148" s="46">
        <v>546</v>
      </c>
      <c r="EN148" s="46">
        <v>521</v>
      </c>
      <c r="EO148" s="46">
        <v>543</v>
      </c>
      <c r="EP148" s="46">
        <v>583</v>
      </c>
      <c r="EQ148" s="46">
        <v>549</v>
      </c>
      <c r="ER148" s="46">
        <v>663</v>
      </c>
      <c r="ES148" s="46">
        <v>607</v>
      </c>
      <c r="ET148" s="46">
        <v>2010</v>
      </c>
      <c r="EU148" s="46">
        <v>1762</v>
      </c>
      <c r="EV148" s="46">
        <v>1610</v>
      </c>
      <c r="EW148" s="46">
        <v>1795</v>
      </c>
      <c r="EX148" s="71">
        <v>1881.8649604724844</v>
      </c>
      <c r="EY148" s="71">
        <v>1877.1654926328092</v>
      </c>
      <c r="EZ148" s="71">
        <v>1872.4660247931342</v>
      </c>
      <c r="FA148" s="71">
        <v>1867.7665569534588</v>
      </c>
      <c r="FB148" s="71">
        <v>1863.0670891137838</v>
      </c>
      <c r="FC148" s="71">
        <v>1858.3676212741086</v>
      </c>
      <c r="FD148" s="71">
        <v>1853.6681534344334</v>
      </c>
      <c r="FE148" s="71">
        <v>1848.968685594758</v>
      </c>
      <c r="FF148" s="72">
        <v>318122</v>
      </c>
      <c r="FG148" s="72">
        <v>318670</v>
      </c>
      <c r="FH148" s="476">
        <v>319690</v>
      </c>
      <c r="FI148" s="476">
        <v>321873.90600000002</v>
      </c>
      <c r="FJ148" s="476">
        <v>323596.84000000003</v>
      </c>
      <c r="FK148" s="476">
        <v>325389.56699999998</v>
      </c>
    </row>
    <row r="149" spans="1:167">
      <c r="A149" s="73" t="s">
        <v>903</v>
      </c>
      <c r="B149" s="19" t="s">
        <v>904</v>
      </c>
      <c r="C149" s="74" t="s">
        <v>794</v>
      </c>
      <c r="D149" s="75" t="s">
        <v>498</v>
      </c>
      <c r="E149" s="76">
        <v>510</v>
      </c>
      <c r="F149" s="77">
        <v>550</v>
      </c>
      <c r="G149" s="410">
        <v>585</v>
      </c>
      <c r="H149" s="78">
        <v>86435</v>
      </c>
      <c r="I149" s="77">
        <v>90345</v>
      </c>
      <c r="J149" s="410">
        <v>93642</v>
      </c>
      <c r="K149" s="410">
        <v>96647.505999999994</v>
      </c>
      <c r="L149" s="418">
        <v>99288.18700000002</v>
      </c>
      <c r="M149" s="79">
        <v>587.70000000000005</v>
      </c>
      <c r="N149" s="80">
        <v>606.6</v>
      </c>
      <c r="O149" s="421">
        <v>647.5</v>
      </c>
      <c r="P149" s="71">
        <v>575</v>
      </c>
      <c r="Q149" s="75" t="s">
        <v>498</v>
      </c>
      <c r="R149" s="81">
        <v>650</v>
      </c>
      <c r="S149" s="77">
        <v>1005</v>
      </c>
      <c r="T149" s="452">
        <v>885</v>
      </c>
      <c r="U149" s="77">
        <v>790</v>
      </c>
      <c r="V149" s="77">
        <v>1205</v>
      </c>
      <c r="W149" s="452">
        <v>1285</v>
      </c>
      <c r="X149" s="82">
        <v>82.3</v>
      </c>
      <c r="Y149" s="83">
        <v>83.6</v>
      </c>
      <c r="Z149" s="443">
        <v>68.900000000000006</v>
      </c>
      <c r="AA149" s="63">
        <v>1462</v>
      </c>
      <c r="AB149" s="63">
        <v>1700</v>
      </c>
      <c r="AC149" s="19" t="s">
        <v>498</v>
      </c>
      <c r="AD149" s="84">
        <v>377</v>
      </c>
      <c r="AE149" s="85">
        <v>623</v>
      </c>
      <c r="AF149" s="85">
        <v>975</v>
      </c>
      <c r="AG149" s="85">
        <v>1065</v>
      </c>
      <c r="AH149" s="85">
        <v>869</v>
      </c>
      <c r="AI149" s="85">
        <v>1138</v>
      </c>
      <c r="AJ149" s="85">
        <v>1409</v>
      </c>
      <c r="AK149" s="85">
        <v>1280</v>
      </c>
      <c r="AL149" s="96">
        <v>1113</v>
      </c>
      <c r="AM149" s="96">
        <v>1559</v>
      </c>
      <c r="AN149" s="96">
        <v>1978</v>
      </c>
      <c r="AO149" s="96">
        <v>1532</v>
      </c>
      <c r="AP149" s="96">
        <v>1553</v>
      </c>
      <c r="AQ149" s="96">
        <v>1600</v>
      </c>
      <c r="AR149" s="96">
        <v>1749</v>
      </c>
      <c r="AS149" s="96">
        <v>1557</v>
      </c>
      <c r="AT149" s="96">
        <v>1615</v>
      </c>
      <c r="AU149" s="96">
        <v>1526</v>
      </c>
      <c r="AV149" s="96">
        <v>1068</v>
      </c>
      <c r="AW149" s="96">
        <v>1069</v>
      </c>
      <c r="AX149" s="97">
        <v>1290</v>
      </c>
      <c r="AY149" s="97">
        <v>1496</v>
      </c>
      <c r="AZ149" s="97">
        <v>1575</v>
      </c>
      <c r="BA149" s="97">
        <v>1542</v>
      </c>
      <c r="BB149" s="97">
        <v>1760</v>
      </c>
      <c r="BC149" s="97">
        <v>1718</v>
      </c>
      <c r="BD149" s="87">
        <v>1572</v>
      </c>
      <c r="BE149" s="87">
        <v>1573</v>
      </c>
      <c r="BF149" s="87">
        <v>1324</v>
      </c>
      <c r="BG149" s="87">
        <v>1379</v>
      </c>
      <c r="BH149" s="87">
        <v>808</v>
      </c>
      <c r="BI149" s="87">
        <v>1034</v>
      </c>
      <c r="BJ149" s="87">
        <v>1369</v>
      </c>
      <c r="BK149" s="87">
        <v>1635</v>
      </c>
      <c r="BL149" s="87">
        <v>1460</v>
      </c>
      <c r="BM149" s="87">
        <v>1474</v>
      </c>
      <c r="BN149" s="87">
        <v>1565</v>
      </c>
      <c r="BO149" s="87">
        <v>1607</v>
      </c>
      <c r="BP149" s="87">
        <v>1657</v>
      </c>
      <c r="BQ149" s="87">
        <v>1719</v>
      </c>
      <c r="BR149" s="96">
        <v>1758</v>
      </c>
      <c r="BS149" s="96">
        <v>1497</v>
      </c>
      <c r="BT149" s="96">
        <v>1368</v>
      </c>
      <c r="BU149" s="96">
        <v>1075</v>
      </c>
      <c r="BV149" s="67">
        <v>4464</v>
      </c>
      <c r="BW149" s="67">
        <v>4646</v>
      </c>
      <c r="BX149" s="67">
        <v>5134</v>
      </c>
      <c r="BY149" s="67">
        <v>3940</v>
      </c>
      <c r="BZ149" s="68">
        <v>4851.9230443974629</v>
      </c>
      <c r="CA149" s="68">
        <v>4941.1530655391116</v>
      </c>
      <c r="CB149" s="68">
        <v>5030.3830866807612</v>
      </c>
      <c r="CC149" s="68">
        <v>5119.6131078224098</v>
      </c>
      <c r="CD149" s="68">
        <v>5208.8431289640594</v>
      </c>
      <c r="CE149" s="68">
        <v>5298.0731501057089</v>
      </c>
      <c r="CF149" s="68">
        <v>5387.3031712473567</v>
      </c>
      <c r="CG149" s="68">
        <v>5476.5331923890062</v>
      </c>
      <c r="CH149" s="87">
        <v>373300</v>
      </c>
      <c r="CI149" s="467">
        <v>376198</v>
      </c>
      <c r="CJ149" s="467">
        <v>378062.39499999996</v>
      </c>
      <c r="CK149" s="467">
        <v>381008.32300000015</v>
      </c>
      <c r="CL149" s="468">
        <v>383603.44799999997</v>
      </c>
      <c r="CM149" s="19" t="s">
        <v>498</v>
      </c>
      <c r="CN149" s="70">
        <v>560</v>
      </c>
      <c r="CO149" s="70">
        <v>633</v>
      </c>
      <c r="CP149" s="70">
        <v>556</v>
      </c>
      <c r="CQ149" s="70">
        <v>599</v>
      </c>
      <c r="CR149" s="70">
        <v>574</v>
      </c>
      <c r="CS149" s="70">
        <v>573</v>
      </c>
      <c r="CT149" s="70">
        <v>630</v>
      </c>
      <c r="CU149" s="70">
        <v>647</v>
      </c>
      <c r="CV149" s="70">
        <v>779</v>
      </c>
      <c r="CW149" s="70">
        <v>634</v>
      </c>
      <c r="CX149" s="70">
        <v>570</v>
      </c>
      <c r="CY149" s="70">
        <v>656</v>
      </c>
      <c r="CZ149" s="70">
        <v>539</v>
      </c>
      <c r="DA149" s="70">
        <v>624</v>
      </c>
      <c r="DB149" s="70">
        <v>583</v>
      </c>
      <c r="DC149" s="70">
        <v>587</v>
      </c>
      <c r="DD149" s="70">
        <v>566</v>
      </c>
      <c r="DE149" s="70">
        <v>566</v>
      </c>
      <c r="DF149" s="70">
        <v>617</v>
      </c>
      <c r="DG149" s="70">
        <v>594</v>
      </c>
      <c r="DH149" s="70">
        <v>777</v>
      </c>
      <c r="DI149" s="70">
        <v>765</v>
      </c>
      <c r="DJ149" s="70">
        <v>622</v>
      </c>
      <c r="DK149" s="70">
        <v>661</v>
      </c>
      <c r="DL149" s="46">
        <v>631</v>
      </c>
      <c r="DM149" s="46">
        <v>595</v>
      </c>
      <c r="DN149" s="46">
        <v>572</v>
      </c>
      <c r="DO149" s="46">
        <v>566</v>
      </c>
      <c r="DP149" s="46">
        <v>584</v>
      </c>
      <c r="DQ149" s="46">
        <v>593</v>
      </c>
      <c r="DR149" s="46">
        <v>558</v>
      </c>
      <c r="DS149" s="46">
        <v>618</v>
      </c>
      <c r="DT149" s="46">
        <v>735</v>
      </c>
      <c r="DU149" s="46">
        <v>670</v>
      </c>
      <c r="DV149" s="46">
        <v>670</v>
      </c>
      <c r="DW149" s="46">
        <v>606</v>
      </c>
      <c r="DX149" s="46">
        <v>714</v>
      </c>
      <c r="DY149" s="46">
        <v>685</v>
      </c>
      <c r="DZ149" s="46">
        <v>695</v>
      </c>
      <c r="EA149" s="46">
        <v>689</v>
      </c>
      <c r="EB149" s="46">
        <v>667</v>
      </c>
      <c r="EC149" s="46">
        <v>607</v>
      </c>
      <c r="ED149" s="46">
        <v>675</v>
      </c>
      <c r="EE149" s="46">
        <v>686</v>
      </c>
      <c r="EF149" s="46">
        <v>810</v>
      </c>
      <c r="EG149" s="46">
        <v>703</v>
      </c>
      <c r="EH149" s="46">
        <v>626</v>
      </c>
      <c r="EI149" s="46">
        <v>682</v>
      </c>
      <c r="EJ149" s="46">
        <v>685</v>
      </c>
      <c r="EK149" s="46">
        <v>598</v>
      </c>
      <c r="EL149" s="46">
        <v>651</v>
      </c>
      <c r="EM149" s="46">
        <v>632</v>
      </c>
      <c r="EN149" s="46">
        <v>571</v>
      </c>
      <c r="EO149" s="46">
        <v>627</v>
      </c>
      <c r="EP149" s="46">
        <v>624</v>
      </c>
      <c r="EQ149" s="46">
        <v>682</v>
      </c>
      <c r="ER149" s="46">
        <v>715</v>
      </c>
      <c r="ES149" s="46">
        <v>509</v>
      </c>
      <c r="ET149" s="46">
        <v>2011</v>
      </c>
      <c r="EU149" s="46">
        <v>1934</v>
      </c>
      <c r="EV149" s="46">
        <v>1830</v>
      </c>
      <c r="EW149" s="46">
        <v>2021</v>
      </c>
      <c r="EX149" s="71">
        <v>2002.8784951859486</v>
      </c>
      <c r="EY149" s="71">
        <v>2011.8513642375956</v>
      </c>
      <c r="EZ149" s="71">
        <v>2020.8242332892432</v>
      </c>
      <c r="FA149" s="71">
        <v>2029.7971023408902</v>
      </c>
      <c r="FB149" s="71">
        <v>2038.7699713925376</v>
      </c>
      <c r="FC149" s="71">
        <v>2047.7428404441848</v>
      </c>
      <c r="FD149" s="71">
        <v>2056.715709495832</v>
      </c>
      <c r="FE149" s="71">
        <v>2065.6885785474792</v>
      </c>
      <c r="FF149" s="72">
        <v>474319</v>
      </c>
      <c r="FG149" s="72">
        <v>476816</v>
      </c>
      <c r="FH149" s="476">
        <v>479634</v>
      </c>
      <c r="FI149" s="476">
        <v>481691.97</v>
      </c>
      <c r="FJ149" s="476">
        <v>484400.761</v>
      </c>
      <c r="FK149" s="476">
        <v>487190.60499999998</v>
      </c>
    </row>
    <row r="150" spans="1:167">
      <c r="A150" s="73" t="s">
        <v>918</v>
      </c>
      <c r="B150" s="19" t="s">
        <v>919</v>
      </c>
      <c r="C150" s="74" t="s">
        <v>795</v>
      </c>
      <c r="D150" s="75" t="s">
        <v>501</v>
      </c>
      <c r="E150" s="76">
        <v>175</v>
      </c>
      <c r="F150" s="77">
        <v>130</v>
      </c>
      <c r="G150" s="410">
        <v>130</v>
      </c>
      <c r="H150" s="78">
        <v>24265</v>
      </c>
      <c r="I150" s="77">
        <v>25200</v>
      </c>
      <c r="J150" s="410">
        <v>25939</v>
      </c>
      <c r="K150" s="410">
        <v>26632.680000000004</v>
      </c>
      <c r="L150" s="418">
        <v>27198.092000000004</v>
      </c>
      <c r="M150" s="79">
        <v>713</v>
      </c>
      <c r="N150" s="80">
        <v>523.79999999999995</v>
      </c>
      <c r="O150" s="421">
        <v>511.9</v>
      </c>
      <c r="P150" s="71">
        <v>120</v>
      </c>
      <c r="Q150" s="75" t="s">
        <v>501</v>
      </c>
      <c r="R150" s="81">
        <v>85</v>
      </c>
      <c r="S150" s="77">
        <v>90</v>
      </c>
      <c r="T150" s="452">
        <v>105</v>
      </c>
      <c r="U150" s="77">
        <v>105</v>
      </c>
      <c r="V150" s="77">
        <v>110</v>
      </c>
      <c r="W150" s="452">
        <v>120</v>
      </c>
      <c r="X150" s="82">
        <v>81</v>
      </c>
      <c r="Y150" s="83">
        <v>78.599999999999994</v>
      </c>
      <c r="Z150" s="443">
        <v>87.4</v>
      </c>
      <c r="AA150" s="63">
        <v>95.2</v>
      </c>
      <c r="AB150" s="63">
        <v>112</v>
      </c>
      <c r="AC150" s="19" t="s">
        <v>501</v>
      </c>
      <c r="AD150" s="84">
        <v>139</v>
      </c>
      <c r="AE150" s="85">
        <v>150</v>
      </c>
      <c r="AF150" s="85">
        <v>172</v>
      </c>
      <c r="AG150" s="85">
        <v>212</v>
      </c>
      <c r="AH150" s="85">
        <v>119</v>
      </c>
      <c r="AI150" s="85">
        <v>183</v>
      </c>
      <c r="AJ150" s="85">
        <v>193</v>
      </c>
      <c r="AK150" s="85">
        <v>193</v>
      </c>
      <c r="AL150" s="96">
        <v>200</v>
      </c>
      <c r="AM150" s="96">
        <v>201</v>
      </c>
      <c r="AN150" s="96">
        <v>180</v>
      </c>
      <c r="AO150" s="96">
        <v>164</v>
      </c>
      <c r="AP150" s="96">
        <v>201</v>
      </c>
      <c r="AQ150" s="96">
        <v>183</v>
      </c>
      <c r="AR150" s="96">
        <v>212</v>
      </c>
      <c r="AS150" s="96">
        <v>291</v>
      </c>
      <c r="AT150" s="96">
        <v>185</v>
      </c>
      <c r="AU150" s="96">
        <v>260</v>
      </c>
      <c r="AV150" s="96">
        <v>191</v>
      </c>
      <c r="AW150" s="96">
        <v>289</v>
      </c>
      <c r="AX150" s="97">
        <v>154</v>
      </c>
      <c r="AY150" s="97">
        <v>176</v>
      </c>
      <c r="AZ150" s="97">
        <v>244</v>
      </c>
      <c r="BA150" s="97">
        <v>216</v>
      </c>
      <c r="BB150" s="97">
        <v>345</v>
      </c>
      <c r="BC150" s="97">
        <v>308</v>
      </c>
      <c r="BD150" s="87">
        <v>432</v>
      </c>
      <c r="BE150" s="87">
        <v>439</v>
      </c>
      <c r="BF150" s="87">
        <v>340</v>
      </c>
      <c r="BG150" s="87">
        <v>306</v>
      </c>
      <c r="BH150" s="87">
        <v>376</v>
      </c>
      <c r="BI150" s="87">
        <v>182</v>
      </c>
      <c r="BJ150" s="87">
        <v>278</v>
      </c>
      <c r="BK150" s="87">
        <v>316</v>
      </c>
      <c r="BL150" s="87">
        <v>477</v>
      </c>
      <c r="BM150" s="87">
        <v>386</v>
      </c>
      <c r="BN150" s="87">
        <v>339</v>
      </c>
      <c r="BO150" s="87">
        <v>240</v>
      </c>
      <c r="BP150" s="87">
        <v>434</v>
      </c>
      <c r="BQ150" s="87">
        <v>287</v>
      </c>
      <c r="BR150" s="96">
        <v>179</v>
      </c>
      <c r="BS150" s="96">
        <v>213</v>
      </c>
      <c r="BT150" s="96">
        <v>162</v>
      </c>
      <c r="BU150" s="96">
        <v>193</v>
      </c>
      <c r="BV150" s="67">
        <v>1071</v>
      </c>
      <c r="BW150" s="67">
        <v>965</v>
      </c>
      <c r="BX150" s="67">
        <v>900</v>
      </c>
      <c r="BY150" s="67">
        <v>568</v>
      </c>
      <c r="BZ150" s="68">
        <v>1000.046934460888</v>
      </c>
      <c r="CA150" s="68">
        <v>1032.490063424947</v>
      </c>
      <c r="CB150" s="68">
        <v>1064.9331923890063</v>
      </c>
      <c r="CC150" s="68">
        <v>1097.3763213530656</v>
      </c>
      <c r="CD150" s="68">
        <v>1129.8194503171246</v>
      </c>
      <c r="CE150" s="68">
        <v>1162.2625792811837</v>
      </c>
      <c r="CF150" s="68">
        <v>1194.7057082452429</v>
      </c>
      <c r="CG150" s="68">
        <v>1227.1488372093022</v>
      </c>
      <c r="CH150" s="87">
        <v>112900</v>
      </c>
      <c r="CI150" s="467">
        <v>113296</v>
      </c>
      <c r="CJ150" s="467">
        <v>114281.95400000004</v>
      </c>
      <c r="CK150" s="467">
        <v>115140.409</v>
      </c>
      <c r="CL150" s="468">
        <v>116157.10299999996</v>
      </c>
      <c r="CM150" s="19" t="s">
        <v>501</v>
      </c>
      <c r="CN150" s="70">
        <v>161</v>
      </c>
      <c r="CO150" s="70">
        <v>193</v>
      </c>
      <c r="CP150" s="70">
        <v>193</v>
      </c>
      <c r="CQ150" s="70">
        <v>186</v>
      </c>
      <c r="CR150" s="70">
        <v>164</v>
      </c>
      <c r="CS150" s="70">
        <v>179</v>
      </c>
      <c r="CT150" s="70">
        <v>235</v>
      </c>
      <c r="CU150" s="70">
        <v>235</v>
      </c>
      <c r="CV150" s="70">
        <v>219</v>
      </c>
      <c r="CW150" s="70">
        <v>197</v>
      </c>
      <c r="CX150" s="70">
        <v>172</v>
      </c>
      <c r="CY150" s="70">
        <v>190</v>
      </c>
      <c r="CZ150" s="70">
        <v>159</v>
      </c>
      <c r="DA150" s="70">
        <v>188</v>
      </c>
      <c r="DB150" s="70">
        <v>181</v>
      </c>
      <c r="DC150" s="70">
        <v>166</v>
      </c>
      <c r="DD150" s="70">
        <v>168</v>
      </c>
      <c r="DE150" s="70">
        <v>154</v>
      </c>
      <c r="DF150" s="70">
        <v>189</v>
      </c>
      <c r="DG150" s="70">
        <v>199</v>
      </c>
      <c r="DH150" s="70">
        <v>241</v>
      </c>
      <c r="DI150" s="70">
        <v>171</v>
      </c>
      <c r="DJ150" s="70">
        <v>153</v>
      </c>
      <c r="DK150" s="70">
        <v>169</v>
      </c>
      <c r="DL150" s="46">
        <v>167</v>
      </c>
      <c r="DM150" s="46">
        <v>142</v>
      </c>
      <c r="DN150" s="46">
        <v>151</v>
      </c>
      <c r="DO150" s="46">
        <v>161</v>
      </c>
      <c r="DP150" s="46">
        <v>145</v>
      </c>
      <c r="DQ150" s="46">
        <v>143</v>
      </c>
      <c r="DR150" s="46">
        <v>148</v>
      </c>
      <c r="DS150" s="46">
        <v>180</v>
      </c>
      <c r="DT150" s="46">
        <v>216</v>
      </c>
      <c r="DU150" s="46">
        <v>193</v>
      </c>
      <c r="DV150" s="46">
        <v>205</v>
      </c>
      <c r="DW150" s="46">
        <v>155</v>
      </c>
      <c r="DX150" s="46">
        <v>179</v>
      </c>
      <c r="DY150" s="46">
        <v>180</v>
      </c>
      <c r="DZ150" s="46">
        <v>197</v>
      </c>
      <c r="EA150" s="46">
        <v>164</v>
      </c>
      <c r="EB150" s="46">
        <v>167</v>
      </c>
      <c r="EC150" s="46">
        <v>157</v>
      </c>
      <c r="ED150" s="46">
        <v>183</v>
      </c>
      <c r="EE150" s="46">
        <v>252</v>
      </c>
      <c r="EF150" s="46">
        <v>268</v>
      </c>
      <c r="EG150" s="46">
        <v>219</v>
      </c>
      <c r="EH150" s="46">
        <v>203</v>
      </c>
      <c r="EI150" s="46">
        <v>207</v>
      </c>
      <c r="EJ150" s="46">
        <v>225</v>
      </c>
      <c r="EK150" s="46">
        <v>197</v>
      </c>
      <c r="EL150" s="46">
        <v>199</v>
      </c>
      <c r="EM150" s="46">
        <v>176</v>
      </c>
      <c r="EN150" s="46">
        <v>188</v>
      </c>
      <c r="EO150" s="46">
        <v>194</v>
      </c>
      <c r="EP150" s="46">
        <v>215</v>
      </c>
      <c r="EQ150" s="46">
        <v>202</v>
      </c>
      <c r="ER150" s="46">
        <v>242</v>
      </c>
      <c r="ES150" s="46">
        <v>190</v>
      </c>
      <c r="ET150" s="46">
        <v>629</v>
      </c>
      <c r="EU150" s="46">
        <v>621</v>
      </c>
      <c r="EV150" s="46">
        <v>558</v>
      </c>
      <c r="EW150" s="46">
        <v>659</v>
      </c>
      <c r="EX150" s="71">
        <v>600.53625149958475</v>
      </c>
      <c r="EY150" s="71">
        <v>604.06161370697339</v>
      </c>
      <c r="EZ150" s="71">
        <v>607.58697591436214</v>
      </c>
      <c r="FA150" s="71">
        <v>611.11233812175089</v>
      </c>
      <c r="FB150" s="71">
        <v>614.63770032913953</v>
      </c>
      <c r="FC150" s="71">
        <v>618.16306253652829</v>
      </c>
      <c r="FD150" s="71">
        <v>621.68842474391704</v>
      </c>
      <c r="FE150" s="71">
        <v>625.21378695130579</v>
      </c>
      <c r="FF150" s="72">
        <v>145098</v>
      </c>
      <c r="FG150" s="72">
        <v>145822</v>
      </c>
      <c r="FH150" s="476">
        <v>146335</v>
      </c>
      <c r="FI150" s="476">
        <v>147983.54999999999</v>
      </c>
      <c r="FJ150" s="476">
        <v>149243.67300000001</v>
      </c>
      <c r="FK150" s="476">
        <v>150552.796</v>
      </c>
    </row>
    <row r="151" spans="1:167">
      <c r="A151" s="73" t="s">
        <v>931</v>
      </c>
      <c r="B151" s="19" t="s">
        <v>932</v>
      </c>
      <c r="C151" s="74" t="s">
        <v>796</v>
      </c>
      <c r="D151" s="75" t="s">
        <v>504</v>
      </c>
      <c r="E151" s="76">
        <v>515</v>
      </c>
      <c r="F151" s="77">
        <v>560</v>
      </c>
      <c r="G151" s="410">
        <v>540</v>
      </c>
      <c r="H151" s="78">
        <v>61425</v>
      </c>
      <c r="I151" s="77">
        <v>63335</v>
      </c>
      <c r="J151" s="410">
        <v>64634</v>
      </c>
      <c r="K151" s="410">
        <v>66014.449999999983</v>
      </c>
      <c r="L151" s="418">
        <v>67156.59699999998</v>
      </c>
      <c r="M151" s="79">
        <v>835.1</v>
      </c>
      <c r="N151" s="80">
        <v>881.1</v>
      </c>
      <c r="O151" s="421">
        <v>852.6</v>
      </c>
      <c r="P151" s="71">
        <v>500</v>
      </c>
      <c r="Q151" s="75" t="s">
        <v>504</v>
      </c>
      <c r="R151" s="81">
        <v>180</v>
      </c>
      <c r="S151" s="77">
        <v>170</v>
      </c>
      <c r="T151" s="452">
        <v>220</v>
      </c>
      <c r="U151" s="77">
        <v>195</v>
      </c>
      <c r="V151" s="77">
        <v>185</v>
      </c>
      <c r="W151" s="452">
        <v>245</v>
      </c>
      <c r="X151" s="82">
        <v>91.4</v>
      </c>
      <c r="Y151" s="83">
        <v>92.4</v>
      </c>
      <c r="Z151" s="443">
        <v>89.4</v>
      </c>
      <c r="AA151" s="63">
        <v>298</v>
      </c>
      <c r="AB151" s="63">
        <v>350</v>
      </c>
      <c r="AC151" s="19" t="s">
        <v>504</v>
      </c>
      <c r="AD151" s="84">
        <v>357</v>
      </c>
      <c r="AE151" s="85">
        <v>213</v>
      </c>
      <c r="AF151" s="85">
        <v>420</v>
      </c>
      <c r="AG151" s="85">
        <v>268</v>
      </c>
      <c r="AH151" s="85">
        <v>223</v>
      </c>
      <c r="AI151" s="85">
        <v>136</v>
      </c>
      <c r="AJ151" s="85">
        <v>111</v>
      </c>
      <c r="AK151" s="85">
        <v>196</v>
      </c>
      <c r="AL151" s="96">
        <v>152</v>
      </c>
      <c r="AM151" s="96">
        <v>290</v>
      </c>
      <c r="AN151" s="96">
        <v>189</v>
      </c>
      <c r="AO151" s="96">
        <v>137</v>
      </c>
      <c r="AP151" s="96">
        <v>167</v>
      </c>
      <c r="AQ151" s="96">
        <v>75</v>
      </c>
      <c r="AR151" s="96">
        <v>44</v>
      </c>
      <c r="AS151" s="96">
        <v>116</v>
      </c>
      <c r="AT151" s="96">
        <v>154</v>
      </c>
      <c r="AU151" s="96">
        <v>162</v>
      </c>
      <c r="AV151" s="96">
        <v>155</v>
      </c>
      <c r="AW151" s="96">
        <v>112</v>
      </c>
      <c r="AX151" s="97">
        <v>198</v>
      </c>
      <c r="AY151" s="97">
        <v>314</v>
      </c>
      <c r="AZ151" s="97">
        <v>240</v>
      </c>
      <c r="BA151" s="97">
        <v>302</v>
      </c>
      <c r="BB151" s="97">
        <v>191</v>
      </c>
      <c r="BC151" s="97">
        <v>135</v>
      </c>
      <c r="BD151" s="87">
        <v>59</v>
      </c>
      <c r="BE151" s="87">
        <v>373</v>
      </c>
      <c r="BF151" s="87">
        <v>306</v>
      </c>
      <c r="BG151" s="87">
        <v>231</v>
      </c>
      <c r="BH151" s="87">
        <v>152</v>
      </c>
      <c r="BI151" s="87">
        <v>205</v>
      </c>
      <c r="BJ151" s="87">
        <v>196</v>
      </c>
      <c r="BK151" s="87">
        <v>117</v>
      </c>
      <c r="BL151" s="87">
        <v>101</v>
      </c>
      <c r="BM151" s="87">
        <v>179</v>
      </c>
      <c r="BN151" s="87">
        <v>170</v>
      </c>
      <c r="BO151" s="87">
        <v>117</v>
      </c>
      <c r="BP151" s="87">
        <v>158</v>
      </c>
      <c r="BQ151" s="87">
        <v>213</v>
      </c>
      <c r="BR151" s="96">
        <v>196</v>
      </c>
      <c r="BS151" s="96">
        <v>196</v>
      </c>
      <c r="BT151" s="96">
        <v>165</v>
      </c>
      <c r="BU151" s="96">
        <v>201</v>
      </c>
      <c r="BV151" s="67">
        <v>414</v>
      </c>
      <c r="BW151" s="67">
        <v>466</v>
      </c>
      <c r="BX151" s="67">
        <v>567</v>
      </c>
      <c r="BY151" s="67">
        <v>562</v>
      </c>
      <c r="BZ151" s="68">
        <v>495.67019027484139</v>
      </c>
      <c r="CA151" s="68">
        <v>485.90274841437633</v>
      </c>
      <c r="CB151" s="68">
        <v>476.13530655391116</v>
      </c>
      <c r="CC151" s="68">
        <v>466.36786469344611</v>
      </c>
      <c r="CD151" s="68">
        <v>456.60042283298094</v>
      </c>
      <c r="CE151" s="68">
        <v>446.83298097251588</v>
      </c>
      <c r="CF151" s="68">
        <v>437.06553911205071</v>
      </c>
      <c r="CG151" s="68">
        <v>427.29809725158566</v>
      </c>
      <c r="CH151" s="87">
        <v>252600</v>
      </c>
      <c r="CI151" s="467">
        <v>252839</v>
      </c>
      <c r="CJ151" s="467">
        <v>253287.16800000006</v>
      </c>
      <c r="CK151" s="467">
        <v>253834.51499999996</v>
      </c>
      <c r="CL151" s="468">
        <v>254279.62299999999</v>
      </c>
      <c r="CM151" s="19" t="s">
        <v>504</v>
      </c>
      <c r="CN151" s="70">
        <v>711</v>
      </c>
      <c r="CO151" s="70">
        <v>698</v>
      </c>
      <c r="CP151" s="70">
        <v>582</v>
      </c>
      <c r="CQ151" s="70">
        <v>600</v>
      </c>
      <c r="CR151" s="70">
        <v>607</v>
      </c>
      <c r="CS151" s="70">
        <v>584</v>
      </c>
      <c r="CT151" s="70">
        <v>758</v>
      </c>
      <c r="CU151" s="70">
        <v>786</v>
      </c>
      <c r="CV151" s="70">
        <v>839</v>
      </c>
      <c r="CW151" s="70">
        <v>705</v>
      </c>
      <c r="CX151" s="70">
        <v>704</v>
      </c>
      <c r="CY151" s="70">
        <v>704</v>
      </c>
      <c r="CZ151" s="70">
        <v>703</v>
      </c>
      <c r="DA151" s="70">
        <v>776</v>
      </c>
      <c r="DB151" s="70">
        <v>641</v>
      </c>
      <c r="DC151" s="70">
        <v>597</v>
      </c>
      <c r="DD151" s="70">
        <v>588</v>
      </c>
      <c r="DE151" s="70">
        <v>644</v>
      </c>
      <c r="DF151" s="70">
        <v>675</v>
      </c>
      <c r="DG151" s="70">
        <v>750</v>
      </c>
      <c r="DH151" s="70">
        <v>882</v>
      </c>
      <c r="DI151" s="70">
        <v>783</v>
      </c>
      <c r="DJ151" s="70">
        <v>607</v>
      </c>
      <c r="DK151" s="70">
        <v>732</v>
      </c>
      <c r="DL151" s="46">
        <v>669</v>
      </c>
      <c r="DM151" s="46">
        <v>605</v>
      </c>
      <c r="DN151" s="46">
        <v>550</v>
      </c>
      <c r="DO151" s="46">
        <v>576</v>
      </c>
      <c r="DP151" s="46">
        <v>538</v>
      </c>
      <c r="DQ151" s="46">
        <v>562</v>
      </c>
      <c r="DR151" s="46">
        <v>692</v>
      </c>
      <c r="DS151" s="46">
        <v>736</v>
      </c>
      <c r="DT151" s="46">
        <v>888</v>
      </c>
      <c r="DU151" s="46">
        <v>779</v>
      </c>
      <c r="DV151" s="46">
        <v>769</v>
      </c>
      <c r="DW151" s="46">
        <v>722</v>
      </c>
      <c r="DX151" s="46">
        <v>760</v>
      </c>
      <c r="DY151" s="46">
        <v>739</v>
      </c>
      <c r="DZ151" s="46">
        <v>771</v>
      </c>
      <c r="EA151" s="46">
        <v>714</v>
      </c>
      <c r="EB151" s="46">
        <v>697</v>
      </c>
      <c r="EC151" s="46">
        <v>662</v>
      </c>
      <c r="ED151" s="46">
        <v>810</v>
      </c>
      <c r="EE151" s="46">
        <v>869</v>
      </c>
      <c r="EF151" s="46">
        <v>949</v>
      </c>
      <c r="EG151" s="46">
        <v>838</v>
      </c>
      <c r="EH151" s="46">
        <v>802</v>
      </c>
      <c r="EI151" s="46">
        <v>878</v>
      </c>
      <c r="EJ151" s="46">
        <v>891</v>
      </c>
      <c r="EK151" s="46">
        <v>838</v>
      </c>
      <c r="EL151" s="46">
        <v>736</v>
      </c>
      <c r="EM151" s="46">
        <v>753</v>
      </c>
      <c r="EN151" s="46">
        <v>649</v>
      </c>
      <c r="EO151" s="46">
        <v>744</v>
      </c>
      <c r="EP151" s="46">
        <v>716</v>
      </c>
      <c r="EQ151" s="46">
        <v>827</v>
      </c>
      <c r="ER151" s="46">
        <v>888</v>
      </c>
      <c r="ES151" s="46">
        <v>713</v>
      </c>
      <c r="ET151" s="46">
        <v>2518</v>
      </c>
      <c r="EU151" s="46">
        <v>2465</v>
      </c>
      <c r="EV151" s="46">
        <v>2146</v>
      </c>
      <c r="EW151" s="46">
        <v>2431</v>
      </c>
      <c r="EX151" s="71">
        <v>2423.038051001261</v>
      </c>
      <c r="EY151" s="71">
        <v>2446.2394413854627</v>
      </c>
      <c r="EZ151" s="71">
        <v>2469.4408317696634</v>
      </c>
      <c r="FA151" s="71">
        <v>2492.6422221538651</v>
      </c>
      <c r="FB151" s="71">
        <v>2515.8436125380663</v>
      </c>
      <c r="FC151" s="71">
        <v>2539.0450029222675</v>
      </c>
      <c r="FD151" s="71">
        <v>2562.2463933064687</v>
      </c>
      <c r="FE151" s="71">
        <v>2585.4477836906703</v>
      </c>
      <c r="FF151" s="72">
        <v>319837</v>
      </c>
      <c r="FG151" s="72">
        <v>320229</v>
      </c>
      <c r="FH151" s="476">
        <v>320295</v>
      </c>
      <c r="FI151" s="476">
        <v>320776.098</v>
      </c>
      <c r="FJ151" s="476">
        <v>321268.57799999998</v>
      </c>
      <c r="FK151" s="476">
        <v>321836.95699999999</v>
      </c>
    </row>
    <row r="152" spans="1:167">
      <c r="A152" s="73" t="s">
        <v>918</v>
      </c>
      <c r="B152" s="19" t="s">
        <v>919</v>
      </c>
      <c r="C152" s="74" t="s">
        <v>797</v>
      </c>
      <c r="D152" s="75" t="s">
        <v>507</v>
      </c>
      <c r="E152" s="76">
        <v>160</v>
      </c>
      <c r="F152" s="77">
        <v>125</v>
      </c>
      <c r="G152" s="410">
        <v>150</v>
      </c>
      <c r="H152" s="78">
        <v>24055</v>
      </c>
      <c r="I152" s="77">
        <v>25280</v>
      </c>
      <c r="J152" s="410">
        <v>26301</v>
      </c>
      <c r="K152" s="410">
        <v>27228.937000000002</v>
      </c>
      <c r="L152" s="418">
        <v>28024.167000000005</v>
      </c>
      <c r="M152" s="79">
        <v>665.2</v>
      </c>
      <c r="N152" s="80">
        <v>498.4</v>
      </c>
      <c r="O152" s="421">
        <v>601.20000000000005</v>
      </c>
      <c r="P152" s="71">
        <v>125</v>
      </c>
      <c r="Q152" s="75" t="s">
        <v>507</v>
      </c>
      <c r="R152" s="81">
        <v>50</v>
      </c>
      <c r="S152" s="77">
        <v>45</v>
      </c>
      <c r="T152" s="452">
        <v>65</v>
      </c>
      <c r="U152" s="77">
        <v>60</v>
      </c>
      <c r="V152" s="77">
        <v>70</v>
      </c>
      <c r="W152" s="452">
        <v>95</v>
      </c>
      <c r="X152" s="82">
        <v>85</v>
      </c>
      <c r="Y152" s="83">
        <v>66.7</v>
      </c>
      <c r="Z152" s="443">
        <v>65.599999999999994</v>
      </c>
      <c r="AA152" s="63">
        <v>61</v>
      </c>
      <c r="AB152" s="63">
        <v>70</v>
      </c>
      <c r="AC152" s="19" t="s">
        <v>507</v>
      </c>
      <c r="AD152" s="84">
        <v>94</v>
      </c>
      <c r="AE152" s="85">
        <v>121</v>
      </c>
      <c r="AF152" s="85">
        <v>92</v>
      </c>
      <c r="AG152" s="85">
        <v>156</v>
      </c>
      <c r="AH152" s="85">
        <v>66</v>
      </c>
      <c r="AI152" s="85">
        <v>144</v>
      </c>
      <c r="AJ152" s="85">
        <v>102</v>
      </c>
      <c r="AK152" s="85">
        <v>104</v>
      </c>
      <c r="AL152" s="96">
        <v>96</v>
      </c>
      <c r="AM152" s="96">
        <v>107</v>
      </c>
      <c r="AN152" s="96">
        <v>90</v>
      </c>
      <c r="AO152" s="96">
        <v>150</v>
      </c>
      <c r="AP152" s="96">
        <v>77</v>
      </c>
      <c r="AQ152" s="96">
        <v>171</v>
      </c>
      <c r="AR152" s="96">
        <v>161</v>
      </c>
      <c r="AS152" s="96">
        <v>162</v>
      </c>
      <c r="AT152" s="96">
        <v>127</v>
      </c>
      <c r="AU152" s="96">
        <v>150</v>
      </c>
      <c r="AV152" s="96">
        <v>149</v>
      </c>
      <c r="AW152" s="96">
        <v>110</v>
      </c>
      <c r="AX152" s="97">
        <v>148</v>
      </c>
      <c r="AY152" s="97">
        <v>229</v>
      </c>
      <c r="AZ152" s="97">
        <v>222</v>
      </c>
      <c r="BA152" s="97">
        <v>269</v>
      </c>
      <c r="BB152" s="97">
        <v>160</v>
      </c>
      <c r="BC152" s="97">
        <v>233</v>
      </c>
      <c r="BD152" s="87">
        <v>372</v>
      </c>
      <c r="BE152" s="87">
        <v>264</v>
      </c>
      <c r="BF152" s="87">
        <v>156</v>
      </c>
      <c r="BG152" s="87">
        <v>210</v>
      </c>
      <c r="BH152" s="87">
        <v>201</v>
      </c>
      <c r="BI152" s="87">
        <v>362</v>
      </c>
      <c r="BJ152" s="87">
        <v>252</v>
      </c>
      <c r="BK152" s="87">
        <v>280</v>
      </c>
      <c r="BL152" s="87">
        <v>253</v>
      </c>
      <c r="BM152" s="87">
        <v>346</v>
      </c>
      <c r="BN152" s="87">
        <v>363</v>
      </c>
      <c r="BO152" s="87">
        <v>247</v>
      </c>
      <c r="BP152" s="87">
        <v>261</v>
      </c>
      <c r="BQ152" s="87">
        <v>236</v>
      </c>
      <c r="BR152" s="96">
        <v>204</v>
      </c>
      <c r="BS152" s="96">
        <v>344</v>
      </c>
      <c r="BT152" s="96">
        <v>408</v>
      </c>
      <c r="BU152" s="96">
        <v>399</v>
      </c>
      <c r="BV152" s="67">
        <v>785</v>
      </c>
      <c r="BW152" s="67">
        <v>956</v>
      </c>
      <c r="BX152" s="67">
        <v>701</v>
      </c>
      <c r="BY152" s="67">
        <v>1151</v>
      </c>
      <c r="BZ152" s="68">
        <v>1033.0097251585621</v>
      </c>
      <c r="CA152" s="68">
        <v>1087.8697674418604</v>
      </c>
      <c r="CB152" s="68">
        <v>1142.7298097251585</v>
      </c>
      <c r="CC152" s="68">
        <v>1197.5898520084568</v>
      </c>
      <c r="CD152" s="68">
        <v>1252.4498942917548</v>
      </c>
      <c r="CE152" s="68">
        <v>1307.3099365750527</v>
      </c>
      <c r="CF152" s="68">
        <v>1362.169978858351</v>
      </c>
      <c r="CG152" s="68">
        <v>1417.0300211416488</v>
      </c>
      <c r="CH152" s="87">
        <v>120700</v>
      </c>
      <c r="CI152" s="467">
        <v>121369</v>
      </c>
      <c r="CJ152" s="467">
        <v>123189.11799999997</v>
      </c>
      <c r="CK152" s="467">
        <v>124351.52</v>
      </c>
      <c r="CL152" s="468">
        <v>125608.79599999997</v>
      </c>
      <c r="CM152" s="19" t="s">
        <v>507</v>
      </c>
      <c r="CN152" s="70">
        <v>181</v>
      </c>
      <c r="CO152" s="70">
        <v>146</v>
      </c>
      <c r="CP152" s="70">
        <v>154</v>
      </c>
      <c r="CQ152" s="70">
        <v>170</v>
      </c>
      <c r="CR152" s="70">
        <v>131</v>
      </c>
      <c r="CS152" s="70">
        <v>148</v>
      </c>
      <c r="CT152" s="70">
        <v>182</v>
      </c>
      <c r="CU152" s="70">
        <v>182</v>
      </c>
      <c r="CV152" s="70">
        <v>230</v>
      </c>
      <c r="CW152" s="70">
        <v>177</v>
      </c>
      <c r="CX152" s="70">
        <v>147</v>
      </c>
      <c r="CY152" s="70">
        <v>173</v>
      </c>
      <c r="CZ152" s="70">
        <v>163</v>
      </c>
      <c r="DA152" s="70">
        <v>181</v>
      </c>
      <c r="DB152" s="70">
        <v>148</v>
      </c>
      <c r="DC152" s="70">
        <v>170</v>
      </c>
      <c r="DD152" s="70">
        <v>116</v>
      </c>
      <c r="DE152" s="70">
        <v>138</v>
      </c>
      <c r="DF152" s="70">
        <v>145</v>
      </c>
      <c r="DG152" s="70">
        <v>185</v>
      </c>
      <c r="DH152" s="70">
        <v>211</v>
      </c>
      <c r="DI152" s="70">
        <v>194</v>
      </c>
      <c r="DJ152" s="70">
        <v>149</v>
      </c>
      <c r="DK152" s="70">
        <v>189</v>
      </c>
      <c r="DL152" s="46">
        <v>166</v>
      </c>
      <c r="DM152" s="46">
        <v>158</v>
      </c>
      <c r="DN152" s="46">
        <v>135</v>
      </c>
      <c r="DO152" s="46">
        <v>135</v>
      </c>
      <c r="DP152" s="46">
        <v>150</v>
      </c>
      <c r="DQ152" s="46">
        <v>149</v>
      </c>
      <c r="DR152" s="46">
        <v>141</v>
      </c>
      <c r="DS152" s="46">
        <v>140</v>
      </c>
      <c r="DT152" s="46">
        <v>191</v>
      </c>
      <c r="DU152" s="46">
        <v>164</v>
      </c>
      <c r="DV152" s="46">
        <v>180</v>
      </c>
      <c r="DW152" s="46">
        <v>160</v>
      </c>
      <c r="DX152" s="46">
        <v>176</v>
      </c>
      <c r="DY152" s="46">
        <v>174</v>
      </c>
      <c r="DZ152" s="46">
        <v>139</v>
      </c>
      <c r="EA152" s="46">
        <v>158</v>
      </c>
      <c r="EB152" s="46">
        <v>145</v>
      </c>
      <c r="EC152" s="46">
        <v>148</v>
      </c>
      <c r="ED152" s="46">
        <v>158</v>
      </c>
      <c r="EE152" s="46">
        <v>164</v>
      </c>
      <c r="EF152" s="46">
        <v>194</v>
      </c>
      <c r="EG152" s="46">
        <v>161</v>
      </c>
      <c r="EH152" s="46">
        <v>156</v>
      </c>
      <c r="EI152" s="46">
        <v>186</v>
      </c>
      <c r="EJ152" s="46">
        <v>188</v>
      </c>
      <c r="EK152" s="46">
        <v>151</v>
      </c>
      <c r="EL152" s="46">
        <v>149</v>
      </c>
      <c r="EM152" s="46">
        <v>162</v>
      </c>
      <c r="EN152" s="46">
        <v>149</v>
      </c>
      <c r="EO152" s="46">
        <v>132</v>
      </c>
      <c r="EP152" s="46">
        <v>169</v>
      </c>
      <c r="EQ152" s="46">
        <v>203</v>
      </c>
      <c r="ER152" s="46">
        <v>204</v>
      </c>
      <c r="ES152" s="46">
        <v>139</v>
      </c>
      <c r="ET152" s="46">
        <v>503</v>
      </c>
      <c r="EU152" s="46">
        <v>488</v>
      </c>
      <c r="EV152" s="46">
        <v>443</v>
      </c>
      <c r="EW152" s="46">
        <v>576</v>
      </c>
      <c r="EX152" s="71">
        <v>488.7342274447077</v>
      </c>
      <c r="EY152" s="71">
        <v>488.56645851917932</v>
      </c>
      <c r="EZ152" s="71">
        <v>488.39868959365094</v>
      </c>
      <c r="FA152" s="71">
        <v>488.23092066812274</v>
      </c>
      <c r="FB152" s="71">
        <v>488.06315174259436</v>
      </c>
      <c r="FC152" s="71">
        <v>487.89538281706609</v>
      </c>
      <c r="FD152" s="71">
        <v>487.72761389153777</v>
      </c>
      <c r="FE152" s="71">
        <v>487.55984496600945</v>
      </c>
      <c r="FF152" s="72">
        <v>154943</v>
      </c>
      <c r="FG152" s="72">
        <v>156663</v>
      </c>
      <c r="FH152" s="476">
        <v>157866</v>
      </c>
      <c r="FI152" s="476">
        <v>159808.196</v>
      </c>
      <c r="FJ152" s="476">
        <v>161375.20300000001</v>
      </c>
      <c r="FK152" s="476">
        <v>163015.076</v>
      </c>
    </row>
    <row r="153" spans="1:167">
      <c r="A153" s="73" t="s">
        <v>909</v>
      </c>
      <c r="B153" s="19" t="s">
        <v>910</v>
      </c>
      <c r="C153" s="74" t="s">
        <v>798</v>
      </c>
      <c r="D153" s="75" t="s">
        <v>510</v>
      </c>
      <c r="E153" s="76">
        <v>285</v>
      </c>
      <c r="F153" s="77">
        <v>315</v>
      </c>
      <c r="G153" s="410">
        <v>305</v>
      </c>
      <c r="H153" s="78">
        <v>40765</v>
      </c>
      <c r="I153" s="77">
        <v>41440</v>
      </c>
      <c r="J153" s="410">
        <v>41960</v>
      </c>
      <c r="K153" s="410">
        <v>42337.866000000016</v>
      </c>
      <c r="L153" s="418">
        <v>42787.05</v>
      </c>
      <c r="M153" s="79">
        <v>696.7</v>
      </c>
      <c r="N153" s="80">
        <v>760.2</v>
      </c>
      <c r="O153" s="421">
        <v>736</v>
      </c>
      <c r="P153" s="71">
        <v>282</v>
      </c>
      <c r="Q153" s="75" t="s">
        <v>510</v>
      </c>
      <c r="R153" s="81">
        <v>255</v>
      </c>
      <c r="S153" s="77">
        <v>325</v>
      </c>
      <c r="T153" s="452">
        <v>300</v>
      </c>
      <c r="U153" s="77">
        <v>295</v>
      </c>
      <c r="V153" s="77">
        <v>380</v>
      </c>
      <c r="W153" s="452">
        <v>350</v>
      </c>
      <c r="X153" s="82">
        <v>86.5</v>
      </c>
      <c r="Y153" s="83">
        <v>85.6</v>
      </c>
      <c r="Z153" s="443">
        <v>85.8</v>
      </c>
      <c r="AA153" s="63">
        <v>340</v>
      </c>
      <c r="AB153" s="63">
        <v>380</v>
      </c>
      <c r="AC153" s="19" t="s">
        <v>510</v>
      </c>
      <c r="AD153" s="84">
        <v>493</v>
      </c>
      <c r="AE153" s="85">
        <v>511</v>
      </c>
      <c r="AF153" s="85">
        <v>807</v>
      </c>
      <c r="AG153" s="85">
        <v>933</v>
      </c>
      <c r="AH153" s="85">
        <v>1048</v>
      </c>
      <c r="AI153" s="85">
        <v>875</v>
      </c>
      <c r="AJ153" s="85">
        <v>942</v>
      </c>
      <c r="AK153" s="85">
        <v>1062</v>
      </c>
      <c r="AL153" s="96">
        <v>735</v>
      </c>
      <c r="AM153" s="96">
        <v>632</v>
      </c>
      <c r="AN153" s="96">
        <v>705</v>
      </c>
      <c r="AO153" s="96">
        <v>739</v>
      </c>
      <c r="AP153" s="96">
        <v>666</v>
      </c>
      <c r="AQ153" s="96">
        <v>828</v>
      </c>
      <c r="AR153" s="96">
        <v>790</v>
      </c>
      <c r="AS153" s="96">
        <v>908</v>
      </c>
      <c r="AT153" s="96">
        <v>983</v>
      </c>
      <c r="AU153" s="96">
        <v>841</v>
      </c>
      <c r="AV153" s="96">
        <v>816</v>
      </c>
      <c r="AW153" s="96">
        <v>818</v>
      </c>
      <c r="AX153" s="97">
        <v>939</v>
      </c>
      <c r="AY153" s="97">
        <v>739</v>
      </c>
      <c r="AZ153" s="97">
        <v>745</v>
      </c>
      <c r="BA153" s="97">
        <v>727</v>
      </c>
      <c r="BB153" s="97">
        <v>982</v>
      </c>
      <c r="BC153" s="97">
        <v>651</v>
      </c>
      <c r="BD153" s="87">
        <v>705</v>
      </c>
      <c r="BE153" s="87">
        <v>998</v>
      </c>
      <c r="BF153" s="87">
        <v>668</v>
      </c>
      <c r="BG153" s="87">
        <v>1331</v>
      </c>
      <c r="BH153" s="87">
        <v>728</v>
      </c>
      <c r="BI153" s="87">
        <v>879</v>
      </c>
      <c r="BJ153" s="87">
        <v>804</v>
      </c>
      <c r="BK153" s="87">
        <v>650</v>
      </c>
      <c r="BL153" s="87">
        <v>600</v>
      </c>
      <c r="BM153" s="87">
        <v>552</v>
      </c>
      <c r="BN153" s="87">
        <v>555</v>
      </c>
      <c r="BO153" s="87">
        <v>393</v>
      </c>
      <c r="BP153" s="87">
        <v>567</v>
      </c>
      <c r="BQ153" s="87">
        <v>419</v>
      </c>
      <c r="BR153" s="96">
        <v>432</v>
      </c>
      <c r="BS153" s="96">
        <v>513</v>
      </c>
      <c r="BT153" s="96">
        <v>744</v>
      </c>
      <c r="BU153" s="96">
        <v>672</v>
      </c>
      <c r="BV153" s="67">
        <v>2054</v>
      </c>
      <c r="BW153" s="67">
        <v>1500</v>
      </c>
      <c r="BX153" s="67">
        <v>1418</v>
      </c>
      <c r="BY153" s="67">
        <v>1929</v>
      </c>
      <c r="BZ153" s="68">
        <v>1876.0788583509516</v>
      </c>
      <c r="CA153" s="68">
        <v>1827.2562367864696</v>
      </c>
      <c r="CB153" s="68">
        <v>1778.4336152219873</v>
      </c>
      <c r="CC153" s="68">
        <v>1729.6109936575051</v>
      </c>
      <c r="CD153" s="68">
        <v>1680.7883720930236</v>
      </c>
      <c r="CE153" s="68">
        <v>1631.9657505285413</v>
      </c>
      <c r="CF153" s="68">
        <v>1583.1431289640591</v>
      </c>
      <c r="CG153" s="68">
        <v>1534.3205073995773</v>
      </c>
      <c r="CH153" s="87">
        <v>194600</v>
      </c>
      <c r="CI153" s="467">
        <v>194708</v>
      </c>
      <c r="CJ153" s="467">
        <v>195604.70800000007</v>
      </c>
      <c r="CK153" s="467">
        <v>196273.79699999999</v>
      </c>
      <c r="CL153" s="468">
        <v>196856.82800000004</v>
      </c>
      <c r="CM153" s="19" t="s">
        <v>510</v>
      </c>
      <c r="CN153" s="70">
        <v>588</v>
      </c>
      <c r="CO153" s="70">
        <v>506</v>
      </c>
      <c r="CP153" s="70">
        <v>522</v>
      </c>
      <c r="CQ153" s="70">
        <v>497</v>
      </c>
      <c r="CR153" s="70">
        <v>385</v>
      </c>
      <c r="CS153" s="70">
        <v>417</v>
      </c>
      <c r="CT153" s="70">
        <v>549</v>
      </c>
      <c r="CU153" s="70">
        <v>564</v>
      </c>
      <c r="CV153" s="70">
        <v>684</v>
      </c>
      <c r="CW153" s="70">
        <v>538</v>
      </c>
      <c r="CX153" s="70">
        <v>456</v>
      </c>
      <c r="CY153" s="70">
        <v>500</v>
      </c>
      <c r="CZ153" s="70">
        <v>472</v>
      </c>
      <c r="DA153" s="70">
        <v>455</v>
      </c>
      <c r="DB153" s="70">
        <v>435</v>
      </c>
      <c r="DC153" s="70">
        <v>420</v>
      </c>
      <c r="DD153" s="70">
        <v>390</v>
      </c>
      <c r="DE153" s="70">
        <v>464</v>
      </c>
      <c r="DF153" s="70">
        <v>482</v>
      </c>
      <c r="DG153" s="70">
        <v>461</v>
      </c>
      <c r="DH153" s="70">
        <v>685</v>
      </c>
      <c r="DI153" s="70">
        <v>552</v>
      </c>
      <c r="DJ153" s="70">
        <v>531</v>
      </c>
      <c r="DK153" s="70">
        <v>547</v>
      </c>
      <c r="DL153" s="46">
        <v>462</v>
      </c>
      <c r="DM153" s="46">
        <v>425</v>
      </c>
      <c r="DN153" s="46">
        <v>400</v>
      </c>
      <c r="DO153" s="46">
        <v>393</v>
      </c>
      <c r="DP153" s="46">
        <v>404</v>
      </c>
      <c r="DQ153" s="46">
        <v>486</v>
      </c>
      <c r="DR153" s="46">
        <v>499</v>
      </c>
      <c r="DS153" s="46">
        <v>515</v>
      </c>
      <c r="DT153" s="46">
        <v>586</v>
      </c>
      <c r="DU153" s="46">
        <v>615</v>
      </c>
      <c r="DV153" s="46">
        <v>589</v>
      </c>
      <c r="DW153" s="46">
        <v>553</v>
      </c>
      <c r="DX153" s="46">
        <v>556</v>
      </c>
      <c r="DY153" s="46">
        <v>557</v>
      </c>
      <c r="DZ153" s="46">
        <v>512</v>
      </c>
      <c r="EA153" s="46">
        <v>502</v>
      </c>
      <c r="EB153" s="46">
        <v>486</v>
      </c>
      <c r="EC153" s="46">
        <v>475</v>
      </c>
      <c r="ED153" s="46">
        <v>593</v>
      </c>
      <c r="EE153" s="46">
        <v>695</v>
      </c>
      <c r="EF153" s="46">
        <v>729</v>
      </c>
      <c r="EG153" s="46">
        <v>640</v>
      </c>
      <c r="EH153" s="46">
        <v>631</v>
      </c>
      <c r="EI153" s="46">
        <v>688</v>
      </c>
      <c r="EJ153" s="46">
        <v>621</v>
      </c>
      <c r="EK153" s="46">
        <v>639</v>
      </c>
      <c r="EL153" s="46">
        <v>565</v>
      </c>
      <c r="EM153" s="46">
        <v>617</v>
      </c>
      <c r="EN153" s="46">
        <v>593</v>
      </c>
      <c r="EO153" s="46">
        <v>545</v>
      </c>
      <c r="EP153" s="46">
        <v>591</v>
      </c>
      <c r="EQ153" s="46">
        <v>623</v>
      </c>
      <c r="ER153" s="46">
        <v>785</v>
      </c>
      <c r="ES153" s="46">
        <v>629</v>
      </c>
      <c r="ET153" s="46">
        <v>1959</v>
      </c>
      <c r="EU153" s="46">
        <v>1825</v>
      </c>
      <c r="EV153" s="46">
        <v>1755</v>
      </c>
      <c r="EW153" s="46">
        <v>1999</v>
      </c>
      <c r="EX153" s="71">
        <v>1900.7907348734198</v>
      </c>
      <c r="EY153" s="71">
        <v>1926.8101448829555</v>
      </c>
      <c r="EZ153" s="71">
        <v>1952.8295548924912</v>
      </c>
      <c r="FA153" s="71">
        <v>1978.8489649020271</v>
      </c>
      <c r="FB153" s="71">
        <v>2004.868374911563</v>
      </c>
      <c r="FC153" s="71">
        <v>2030.887784921099</v>
      </c>
      <c r="FD153" s="71">
        <v>2056.9071949306344</v>
      </c>
      <c r="FE153" s="71">
        <v>2082.9266049401704</v>
      </c>
      <c r="FF153" s="72">
        <v>249852</v>
      </c>
      <c r="FG153" s="72">
        <v>250970</v>
      </c>
      <c r="FH153" s="476">
        <v>251557</v>
      </c>
      <c r="FI153" s="476">
        <v>252141.07199999999</v>
      </c>
      <c r="FJ153" s="476">
        <v>252899.97</v>
      </c>
      <c r="FK153" s="476">
        <v>253783.965</v>
      </c>
    </row>
    <row r="154" spans="1:167">
      <c r="A154" s="73" t="s">
        <v>937</v>
      </c>
      <c r="B154" s="19" t="s">
        <v>938</v>
      </c>
      <c r="C154" s="74" t="s">
        <v>799</v>
      </c>
      <c r="D154" s="75" t="s">
        <v>513</v>
      </c>
      <c r="E154" s="76">
        <v>705</v>
      </c>
      <c r="F154" s="77">
        <v>685</v>
      </c>
      <c r="G154" s="410">
        <v>720</v>
      </c>
      <c r="H154" s="78">
        <v>110170</v>
      </c>
      <c r="I154" s="77">
        <v>114660</v>
      </c>
      <c r="J154" s="410">
        <v>118324</v>
      </c>
      <c r="K154" s="410">
        <v>122256.82099999998</v>
      </c>
      <c r="L154" s="418">
        <v>125560.311</v>
      </c>
      <c r="M154" s="79">
        <v>641.70000000000005</v>
      </c>
      <c r="N154" s="80">
        <v>597.4</v>
      </c>
      <c r="O154" s="421">
        <v>628</v>
      </c>
      <c r="P154" s="71">
        <v>674</v>
      </c>
      <c r="Q154" s="75" t="s">
        <v>513</v>
      </c>
      <c r="R154" s="81">
        <v>395</v>
      </c>
      <c r="S154" s="77">
        <v>395</v>
      </c>
      <c r="T154" s="452">
        <v>430</v>
      </c>
      <c r="U154" s="77">
        <v>530</v>
      </c>
      <c r="V154" s="77">
        <v>510</v>
      </c>
      <c r="W154" s="452">
        <v>560</v>
      </c>
      <c r="X154" s="82">
        <v>74.099999999999994</v>
      </c>
      <c r="Y154" s="83">
        <v>77.3</v>
      </c>
      <c r="Z154" s="443">
        <v>76.599999999999994</v>
      </c>
      <c r="AA154" s="63">
        <v>418</v>
      </c>
      <c r="AB154" s="63">
        <v>510</v>
      </c>
      <c r="AC154" s="19" t="s">
        <v>513</v>
      </c>
      <c r="AD154" s="84">
        <v>2097</v>
      </c>
      <c r="AE154" s="85">
        <v>1889</v>
      </c>
      <c r="AF154" s="85">
        <v>2046</v>
      </c>
      <c r="AG154" s="85">
        <v>1691</v>
      </c>
      <c r="AH154" s="85">
        <v>1804</v>
      </c>
      <c r="AI154" s="85">
        <v>1577</v>
      </c>
      <c r="AJ154" s="85">
        <v>1822</v>
      </c>
      <c r="AK154" s="85">
        <v>2283</v>
      </c>
      <c r="AL154" s="96">
        <v>1836</v>
      </c>
      <c r="AM154" s="96">
        <v>1887</v>
      </c>
      <c r="AN154" s="96">
        <v>1426</v>
      </c>
      <c r="AO154" s="96">
        <v>1446</v>
      </c>
      <c r="AP154" s="96">
        <v>1333</v>
      </c>
      <c r="AQ154" s="96">
        <v>1795</v>
      </c>
      <c r="AR154" s="96">
        <v>1849</v>
      </c>
      <c r="AS154" s="96">
        <v>1989</v>
      </c>
      <c r="AT154" s="96">
        <v>1568</v>
      </c>
      <c r="AU154" s="96">
        <v>1601</v>
      </c>
      <c r="AV154" s="96">
        <v>1943</v>
      </c>
      <c r="AW154" s="96">
        <v>1903</v>
      </c>
      <c r="AX154" s="97">
        <v>1718</v>
      </c>
      <c r="AY154" s="97">
        <v>2000</v>
      </c>
      <c r="AZ154" s="97">
        <v>1341</v>
      </c>
      <c r="BA154" s="97">
        <v>1551</v>
      </c>
      <c r="BB154" s="97">
        <v>1172</v>
      </c>
      <c r="BC154" s="97">
        <v>939</v>
      </c>
      <c r="BD154" s="87">
        <v>975</v>
      </c>
      <c r="BE154" s="87">
        <v>1294</v>
      </c>
      <c r="BF154" s="87">
        <v>793</v>
      </c>
      <c r="BG154" s="87">
        <v>1054</v>
      </c>
      <c r="BH154" s="87">
        <v>921</v>
      </c>
      <c r="BI154" s="87">
        <v>1162</v>
      </c>
      <c r="BJ154" s="87">
        <v>1370</v>
      </c>
      <c r="BK154" s="87">
        <v>1054</v>
      </c>
      <c r="BL154" s="87">
        <v>1480</v>
      </c>
      <c r="BM154" s="87">
        <v>1540</v>
      </c>
      <c r="BN154" s="87">
        <v>1505</v>
      </c>
      <c r="BO154" s="87">
        <v>1616</v>
      </c>
      <c r="BP154" s="87">
        <v>1527</v>
      </c>
      <c r="BQ154" s="87">
        <v>1764</v>
      </c>
      <c r="BR154" s="96">
        <v>1279</v>
      </c>
      <c r="BS154" s="96">
        <v>1763</v>
      </c>
      <c r="BT154" s="96">
        <v>1413</v>
      </c>
      <c r="BU154" s="96">
        <v>1412</v>
      </c>
      <c r="BV154" s="67">
        <v>3904</v>
      </c>
      <c r="BW154" s="67">
        <v>4661</v>
      </c>
      <c r="BX154" s="67">
        <v>4570</v>
      </c>
      <c r="BY154" s="67">
        <v>4588</v>
      </c>
      <c r="BZ154" s="68">
        <v>3663.7399577167016</v>
      </c>
      <c r="CA154" s="68">
        <v>3535.8498942917549</v>
      </c>
      <c r="CB154" s="68">
        <v>3407.9598308668078</v>
      </c>
      <c r="CC154" s="68">
        <v>3280.0697674418602</v>
      </c>
      <c r="CD154" s="68">
        <v>3152.1797040169131</v>
      </c>
      <c r="CE154" s="68">
        <v>3024.289640591966</v>
      </c>
      <c r="CF154" s="68">
        <v>2896.3995771670188</v>
      </c>
      <c r="CG154" s="68">
        <v>2768.5095137420717</v>
      </c>
      <c r="CH154" s="87">
        <v>454500</v>
      </c>
      <c r="CI154" s="467">
        <v>457206</v>
      </c>
      <c r="CJ154" s="467">
        <v>458319.26200000005</v>
      </c>
      <c r="CK154" s="467">
        <v>460583.93400000042</v>
      </c>
      <c r="CL154" s="468">
        <v>462817.80999999982</v>
      </c>
      <c r="CM154" s="19" t="s">
        <v>513</v>
      </c>
      <c r="CN154" s="70">
        <v>897</v>
      </c>
      <c r="CO154" s="70">
        <v>833</v>
      </c>
      <c r="CP154" s="70">
        <v>878</v>
      </c>
      <c r="CQ154" s="70">
        <v>872</v>
      </c>
      <c r="CR154" s="70">
        <v>822</v>
      </c>
      <c r="CS154" s="70">
        <v>816</v>
      </c>
      <c r="CT154" s="70">
        <v>948</v>
      </c>
      <c r="CU154" s="70">
        <v>1031</v>
      </c>
      <c r="CV154" s="70">
        <v>1174</v>
      </c>
      <c r="CW154" s="70">
        <v>959</v>
      </c>
      <c r="CX154" s="70">
        <v>876</v>
      </c>
      <c r="CY154" s="70">
        <v>916</v>
      </c>
      <c r="CZ154" s="70">
        <v>907</v>
      </c>
      <c r="DA154" s="70">
        <v>932</v>
      </c>
      <c r="DB154" s="70">
        <v>836</v>
      </c>
      <c r="DC154" s="70">
        <v>778</v>
      </c>
      <c r="DD154" s="70">
        <v>777</v>
      </c>
      <c r="DE154" s="70">
        <v>848</v>
      </c>
      <c r="DF154" s="70">
        <v>873</v>
      </c>
      <c r="DG154" s="70">
        <v>905</v>
      </c>
      <c r="DH154" s="70">
        <v>1256</v>
      </c>
      <c r="DI154" s="70">
        <v>1036</v>
      </c>
      <c r="DJ154" s="70">
        <v>847</v>
      </c>
      <c r="DK154" s="70">
        <v>905</v>
      </c>
      <c r="DL154" s="46">
        <v>942</v>
      </c>
      <c r="DM154" s="46">
        <v>908</v>
      </c>
      <c r="DN154" s="46">
        <v>875</v>
      </c>
      <c r="DO154" s="46">
        <v>833</v>
      </c>
      <c r="DP154" s="46">
        <v>802</v>
      </c>
      <c r="DQ154" s="46">
        <v>851</v>
      </c>
      <c r="DR154" s="46">
        <v>923</v>
      </c>
      <c r="DS154" s="46">
        <v>882</v>
      </c>
      <c r="DT154" s="46">
        <v>1045</v>
      </c>
      <c r="DU154" s="46">
        <v>1019</v>
      </c>
      <c r="DV154" s="46">
        <v>920</v>
      </c>
      <c r="DW154" s="46">
        <v>986</v>
      </c>
      <c r="DX154" s="46">
        <v>953</v>
      </c>
      <c r="DY154" s="46">
        <v>958</v>
      </c>
      <c r="DZ154" s="46">
        <v>1024</v>
      </c>
      <c r="EA154" s="46">
        <v>1052</v>
      </c>
      <c r="EB154" s="46">
        <v>919</v>
      </c>
      <c r="EC154" s="46">
        <v>869</v>
      </c>
      <c r="ED154" s="46">
        <v>1023</v>
      </c>
      <c r="EE154" s="46">
        <v>1018</v>
      </c>
      <c r="EF154" s="46">
        <v>1140</v>
      </c>
      <c r="EG154" s="46">
        <v>896</v>
      </c>
      <c r="EH154" s="46">
        <v>876</v>
      </c>
      <c r="EI154" s="46">
        <v>1092</v>
      </c>
      <c r="EJ154" s="46">
        <v>1047</v>
      </c>
      <c r="EK154" s="46">
        <v>1004</v>
      </c>
      <c r="EL154" s="46">
        <v>844</v>
      </c>
      <c r="EM154" s="46">
        <v>886</v>
      </c>
      <c r="EN154" s="46">
        <v>807</v>
      </c>
      <c r="EO154" s="46">
        <v>860</v>
      </c>
      <c r="EP154" s="46">
        <v>919</v>
      </c>
      <c r="EQ154" s="46">
        <v>921</v>
      </c>
      <c r="ER154" s="46">
        <v>1263</v>
      </c>
      <c r="ES154" s="46">
        <v>913</v>
      </c>
      <c r="ET154" s="46">
        <v>2864</v>
      </c>
      <c r="EU154" s="46">
        <v>2895</v>
      </c>
      <c r="EV154" s="46">
        <v>2553</v>
      </c>
      <c r="EW154" s="46">
        <v>3103</v>
      </c>
      <c r="EX154" s="71">
        <v>2948.4882032667874</v>
      </c>
      <c r="EY154" s="71">
        <v>2961.9147005444647</v>
      </c>
      <c r="EZ154" s="71">
        <v>2975.3411978221416</v>
      </c>
      <c r="FA154" s="71">
        <v>2988.7676950998184</v>
      </c>
      <c r="FB154" s="71">
        <v>3002.1941923774953</v>
      </c>
      <c r="FC154" s="71">
        <v>3015.6206896551726</v>
      </c>
      <c r="FD154" s="71">
        <v>3029.0471869328494</v>
      </c>
      <c r="FE154" s="71">
        <v>3042.4736842105262</v>
      </c>
      <c r="FF154" s="72">
        <v>566557</v>
      </c>
      <c r="FG154" s="72">
        <v>569032</v>
      </c>
      <c r="FH154" s="476">
        <v>572168</v>
      </c>
      <c r="FI154" s="476">
        <v>572366.07400000002</v>
      </c>
      <c r="FJ154" s="476">
        <v>574357.06700000004</v>
      </c>
      <c r="FK154" s="476">
        <v>576543.41599999997</v>
      </c>
    </row>
    <row r="155" spans="1:167" ht="15.75" thickBot="1">
      <c r="A155" s="98" t="s">
        <v>943</v>
      </c>
      <c r="B155" s="99" t="s">
        <v>944</v>
      </c>
      <c r="C155" s="100" t="s">
        <v>800</v>
      </c>
      <c r="D155" s="101" t="s">
        <v>516</v>
      </c>
      <c r="E155" s="102">
        <v>205</v>
      </c>
      <c r="F155" s="103">
        <v>215</v>
      </c>
      <c r="G155" s="412">
        <v>275</v>
      </c>
      <c r="H155" s="104">
        <v>33695</v>
      </c>
      <c r="I155" s="103">
        <v>34805</v>
      </c>
      <c r="J155" s="412">
        <v>35700</v>
      </c>
      <c r="K155" s="412">
        <v>36428.35</v>
      </c>
      <c r="L155" s="418">
        <v>37112.149999999994</v>
      </c>
      <c r="M155" s="105">
        <v>608.4</v>
      </c>
      <c r="N155" s="106">
        <v>617.70000000000005</v>
      </c>
      <c r="O155" s="423">
        <v>787.2</v>
      </c>
      <c r="P155" s="71">
        <v>193</v>
      </c>
      <c r="Q155" s="101" t="s">
        <v>516</v>
      </c>
      <c r="R155" s="107">
        <v>20</v>
      </c>
      <c r="S155" s="103">
        <v>30</v>
      </c>
      <c r="T155" s="454">
        <v>55</v>
      </c>
      <c r="U155" s="103">
        <v>20</v>
      </c>
      <c r="V155" s="103">
        <v>45</v>
      </c>
      <c r="W155" s="454">
        <v>70</v>
      </c>
      <c r="X155" s="108">
        <v>100</v>
      </c>
      <c r="Y155" s="109">
        <v>69.8</v>
      </c>
      <c r="Z155" s="445">
        <v>80.900000000000006</v>
      </c>
      <c r="AA155" s="63">
        <v>40</v>
      </c>
      <c r="AB155" s="63">
        <v>48</v>
      </c>
      <c r="AC155" s="19" t="s">
        <v>516</v>
      </c>
      <c r="AD155" s="84">
        <v>362</v>
      </c>
      <c r="AE155" s="85">
        <v>466</v>
      </c>
      <c r="AF155" s="85">
        <v>542</v>
      </c>
      <c r="AG155" s="85">
        <v>1245</v>
      </c>
      <c r="AH155" s="85">
        <v>1200</v>
      </c>
      <c r="AI155" s="85">
        <v>809</v>
      </c>
      <c r="AJ155" s="85">
        <v>893</v>
      </c>
      <c r="AK155" s="85">
        <v>1313</v>
      </c>
      <c r="AL155" s="96">
        <v>665</v>
      </c>
      <c r="AM155" s="96">
        <v>993</v>
      </c>
      <c r="AN155" s="96">
        <v>960</v>
      </c>
      <c r="AO155" s="96">
        <v>862</v>
      </c>
      <c r="AP155" s="96">
        <v>1083</v>
      </c>
      <c r="AQ155" s="96">
        <v>913</v>
      </c>
      <c r="AR155" s="96">
        <v>779</v>
      </c>
      <c r="AS155" s="96">
        <v>1000</v>
      </c>
      <c r="AT155" s="96">
        <v>987</v>
      </c>
      <c r="AU155" s="96">
        <v>935</v>
      </c>
      <c r="AV155" s="96">
        <v>812</v>
      </c>
      <c r="AW155" s="96">
        <v>1076</v>
      </c>
      <c r="AX155" s="97">
        <v>1008</v>
      </c>
      <c r="AY155" s="97">
        <v>1420</v>
      </c>
      <c r="AZ155" s="97">
        <v>1155</v>
      </c>
      <c r="BA155" s="97">
        <v>1214</v>
      </c>
      <c r="BB155" s="97">
        <v>1308</v>
      </c>
      <c r="BC155" s="97">
        <v>1036</v>
      </c>
      <c r="BD155" s="87">
        <v>934</v>
      </c>
      <c r="BE155" s="87">
        <v>1125</v>
      </c>
      <c r="BF155" s="87">
        <v>994</v>
      </c>
      <c r="BG155" s="87">
        <v>1150</v>
      </c>
      <c r="BH155" s="87">
        <v>869</v>
      </c>
      <c r="BI155" s="87">
        <v>484</v>
      </c>
      <c r="BJ155" s="87">
        <v>444</v>
      </c>
      <c r="BK155" s="87">
        <v>993</v>
      </c>
      <c r="BL155" s="87">
        <v>868</v>
      </c>
      <c r="BM155" s="87">
        <v>926</v>
      </c>
      <c r="BN155" s="87">
        <v>829</v>
      </c>
      <c r="BO155" s="87">
        <v>749</v>
      </c>
      <c r="BP155" s="87">
        <v>1088</v>
      </c>
      <c r="BQ155" s="87">
        <v>855</v>
      </c>
      <c r="BR155" s="96">
        <v>654</v>
      </c>
      <c r="BS155" s="96">
        <v>1031</v>
      </c>
      <c r="BT155" s="96">
        <v>1023</v>
      </c>
      <c r="BU155" s="96">
        <v>910</v>
      </c>
      <c r="BV155" s="67">
        <v>2305</v>
      </c>
      <c r="BW155" s="67">
        <v>2504</v>
      </c>
      <c r="BX155" s="67">
        <v>2597</v>
      </c>
      <c r="BY155" s="67">
        <v>2964</v>
      </c>
      <c r="BZ155" s="68">
        <v>2872.793446088795</v>
      </c>
      <c r="CA155" s="68">
        <v>2882.9972515856234</v>
      </c>
      <c r="CB155" s="68">
        <v>2893.2010570824523</v>
      </c>
      <c r="CC155" s="68">
        <v>2903.4048625792811</v>
      </c>
      <c r="CD155" s="68">
        <v>2913.60866807611</v>
      </c>
      <c r="CE155" s="68">
        <v>2923.8124735729389</v>
      </c>
      <c r="CF155" s="68">
        <v>2934.0162790697677</v>
      </c>
      <c r="CG155" s="68">
        <v>2944.2200845665966</v>
      </c>
      <c r="CH155" s="87">
        <v>164000</v>
      </c>
      <c r="CI155" s="467">
        <v>166102</v>
      </c>
      <c r="CJ155" s="467">
        <v>166302.01699999999</v>
      </c>
      <c r="CK155" s="467">
        <v>167516.87400000001</v>
      </c>
      <c r="CL155" s="468">
        <v>168658.42099999997</v>
      </c>
      <c r="CM155" s="19" t="s">
        <v>516</v>
      </c>
      <c r="CN155" s="70">
        <v>293</v>
      </c>
      <c r="CO155" s="70">
        <v>304</v>
      </c>
      <c r="CP155" s="70">
        <v>263</v>
      </c>
      <c r="CQ155" s="70">
        <v>259</v>
      </c>
      <c r="CR155" s="70">
        <v>266</v>
      </c>
      <c r="CS155" s="70">
        <v>254</v>
      </c>
      <c r="CT155" s="70">
        <v>358</v>
      </c>
      <c r="CU155" s="70">
        <v>287</v>
      </c>
      <c r="CV155" s="70">
        <v>394</v>
      </c>
      <c r="CW155" s="70">
        <v>330</v>
      </c>
      <c r="CX155" s="70">
        <v>320</v>
      </c>
      <c r="CY155" s="70">
        <v>305</v>
      </c>
      <c r="CZ155" s="70">
        <v>289</v>
      </c>
      <c r="DA155" s="70">
        <v>278</v>
      </c>
      <c r="DB155" s="70">
        <v>270</v>
      </c>
      <c r="DC155" s="70">
        <v>246</v>
      </c>
      <c r="DD155" s="70">
        <v>257</v>
      </c>
      <c r="DE155" s="70">
        <v>269</v>
      </c>
      <c r="DF155" s="70">
        <v>329</v>
      </c>
      <c r="DG155" s="70">
        <v>250</v>
      </c>
      <c r="DH155" s="70">
        <v>410</v>
      </c>
      <c r="DI155" s="70">
        <v>344</v>
      </c>
      <c r="DJ155" s="70">
        <v>346</v>
      </c>
      <c r="DK155" s="70">
        <v>314</v>
      </c>
      <c r="DL155" s="46">
        <v>265</v>
      </c>
      <c r="DM155" s="46">
        <v>257</v>
      </c>
      <c r="DN155" s="46">
        <v>243</v>
      </c>
      <c r="DO155" s="46">
        <v>301</v>
      </c>
      <c r="DP155" s="46">
        <v>241</v>
      </c>
      <c r="DQ155" s="46">
        <v>264</v>
      </c>
      <c r="DR155" s="46">
        <v>273</v>
      </c>
      <c r="DS155" s="46">
        <v>318</v>
      </c>
      <c r="DT155" s="46">
        <v>382</v>
      </c>
      <c r="DU155" s="46">
        <v>416</v>
      </c>
      <c r="DV155" s="46">
        <v>351</v>
      </c>
      <c r="DW155" s="46">
        <v>361</v>
      </c>
      <c r="DX155" s="46">
        <v>364</v>
      </c>
      <c r="DY155" s="46">
        <v>331</v>
      </c>
      <c r="DZ155" s="46">
        <v>320</v>
      </c>
      <c r="EA155" s="46">
        <v>320</v>
      </c>
      <c r="EB155" s="46">
        <v>321</v>
      </c>
      <c r="EC155" s="46">
        <v>298</v>
      </c>
      <c r="ED155" s="46">
        <v>369</v>
      </c>
      <c r="EE155" s="46">
        <v>417</v>
      </c>
      <c r="EF155" s="46">
        <v>429</v>
      </c>
      <c r="EG155" s="46">
        <v>443</v>
      </c>
      <c r="EH155" s="46">
        <v>372</v>
      </c>
      <c r="EI155" s="46">
        <v>382</v>
      </c>
      <c r="EJ155" s="46">
        <v>404</v>
      </c>
      <c r="EK155" s="46">
        <v>388</v>
      </c>
      <c r="EL155" s="46">
        <v>305</v>
      </c>
      <c r="EM155" s="46">
        <v>340</v>
      </c>
      <c r="EN155" s="46">
        <v>310</v>
      </c>
      <c r="EO155" s="46">
        <v>318</v>
      </c>
      <c r="EP155" s="46">
        <v>358</v>
      </c>
      <c r="EQ155" s="46">
        <v>370</v>
      </c>
      <c r="ER155" s="46">
        <v>373</v>
      </c>
      <c r="ES155" s="46">
        <v>306</v>
      </c>
      <c r="ET155" s="46">
        <v>1197</v>
      </c>
      <c r="EU155" s="46">
        <v>1097</v>
      </c>
      <c r="EV155" s="46">
        <v>968</v>
      </c>
      <c r="EW155" s="46">
        <v>1101</v>
      </c>
      <c r="EX155" s="71">
        <v>1121.0120274385554</v>
      </c>
      <c r="EY155" s="71">
        <v>1134.991387000523</v>
      </c>
      <c r="EZ155" s="71">
        <v>1148.9707465624904</v>
      </c>
      <c r="FA155" s="71">
        <v>1162.9501061244578</v>
      </c>
      <c r="FB155" s="71">
        <v>1176.9294656864251</v>
      </c>
      <c r="FC155" s="71">
        <v>1190.9088252483925</v>
      </c>
      <c r="FD155" s="71">
        <v>1204.8881848103601</v>
      </c>
      <c r="FE155" s="71">
        <v>1218.8675443723275</v>
      </c>
      <c r="FF155" s="72">
        <v>197783</v>
      </c>
      <c r="FG155" s="72">
        <v>200018</v>
      </c>
      <c r="FH155" s="476">
        <v>202433</v>
      </c>
      <c r="FI155" s="476">
        <v>202863.36300000001</v>
      </c>
      <c r="FJ155" s="476">
        <v>204254.09599999999</v>
      </c>
      <c r="FK155" s="476">
        <v>205644.76800000001</v>
      </c>
    </row>
    <row r="156" spans="1:167" ht="15.75" thickBot="1">
      <c r="C156" s="110" t="s">
        <v>956</v>
      </c>
      <c r="D156" s="111" t="s">
        <v>957</v>
      </c>
      <c r="E156" s="112"/>
      <c r="F156" s="112"/>
      <c r="G156" s="413"/>
      <c r="H156" s="112"/>
      <c r="I156" s="112"/>
      <c r="J156" s="413"/>
      <c r="K156" s="413"/>
      <c r="L156" s="413"/>
      <c r="M156" s="112"/>
      <c r="N156" s="112"/>
      <c r="O156" s="413"/>
      <c r="P156" s="112"/>
      <c r="Q156" s="111" t="s">
        <v>957</v>
      </c>
      <c r="R156" s="112"/>
      <c r="S156" s="112"/>
      <c r="T156" s="455"/>
      <c r="U156" s="112"/>
      <c r="V156" s="112"/>
      <c r="W156" s="455"/>
      <c r="X156" s="112"/>
      <c r="Y156" s="113"/>
      <c r="Z156" s="446"/>
      <c r="AA156" s="114"/>
      <c r="AB156" s="114"/>
      <c r="AC156" s="115" t="s">
        <v>957</v>
      </c>
      <c r="AD156" s="116">
        <f>SUM(AD5:AD155)</f>
        <v>109789</v>
      </c>
      <c r="AE156" s="117">
        <f t="shared" ref="AE156:BU156" si="0">SUM(AE5:AE155)</f>
        <v>115615</v>
      </c>
      <c r="AF156" s="117">
        <f t="shared" si="0"/>
        <v>113003</v>
      </c>
      <c r="AG156" s="117">
        <f t="shared" si="0"/>
        <v>112865</v>
      </c>
      <c r="AH156" s="117">
        <f t="shared" si="0"/>
        <v>116291</v>
      </c>
      <c r="AI156" s="117">
        <f t="shared" si="0"/>
        <v>113918</v>
      </c>
      <c r="AJ156" s="117">
        <f t="shared" si="0"/>
        <v>111969</v>
      </c>
      <c r="AK156" s="117">
        <f t="shared" si="0"/>
        <v>122878</v>
      </c>
      <c r="AL156" s="117">
        <f t="shared" si="0"/>
        <v>107750</v>
      </c>
      <c r="AM156" s="117">
        <f t="shared" si="0"/>
        <v>113162</v>
      </c>
      <c r="AN156" s="117">
        <f t="shared" si="0"/>
        <v>116819</v>
      </c>
      <c r="AO156" s="117">
        <f t="shared" si="0"/>
        <v>115286</v>
      </c>
      <c r="AP156" s="117">
        <f t="shared" si="0"/>
        <v>117073</v>
      </c>
      <c r="AQ156" s="117">
        <f t="shared" si="0"/>
        <v>116898</v>
      </c>
      <c r="AR156" s="117">
        <f t="shared" si="0"/>
        <v>116615</v>
      </c>
      <c r="AS156" s="117">
        <f t="shared" si="0"/>
        <v>114409</v>
      </c>
      <c r="AT156" s="117">
        <f t="shared" si="0"/>
        <v>111878</v>
      </c>
      <c r="AU156" s="117">
        <f t="shared" si="0"/>
        <v>111559</v>
      </c>
      <c r="AV156" s="117">
        <f t="shared" si="0"/>
        <v>109140</v>
      </c>
      <c r="AW156" s="117">
        <f t="shared" si="0"/>
        <v>119482</v>
      </c>
      <c r="AX156" s="117">
        <f t="shared" si="0"/>
        <v>108258</v>
      </c>
      <c r="AY156" s="117">
        <f t="shared" si="0"/>
        <v>119183</v>
      </c>
      <c r="AZ156" s="117">
        <f t="shared" si="0"/>
        <v>110190</v>
      </c>
      <c r="BA156" s="117">
        <f t="shared" si="0"/>
        <v>116906</v>
      </c>
      <c r="BB156" s="117">
        <f t="shared" si="0"/>
        <v>119701</v>
      </c>
      <c r="BC156" s="117">
        <f t="shared" si="0"/>
        <v>113884</v>
      </c>
      <c r="BD156" s="117">
        <f t="shared" si="0"/>
        <v>116413</v>
      </c>
      <c r="BE156" s="117">
        <f t="shared" si="0"/>
        <v>115709</v>
      </c>
      <c r="BF156" s="117">
        <f t="shared" si="0"/>
        <v>107260</v>
      </c>
      <c r="BG156" s="117">
        <f t="shared" si="0"/>
        <v>125287</v>
      </c>
      <c r="BH156" s="117">
        <f t="shared" si="0"/>
        <v>108738</v>
      </c>
      <c r="BI156" s="117">
        <f t="shared" si="0"/>
        <v>114519</v>
      </c>
      <c r="BJ156" s="117">
        <f t="shared" si="0"/>
        <v>112741</v>
      </c>
      <c r="BK156" s="117">
        <f t="shared" si="0"/>
        <v>119898</v>
      </c>
      <c r="BL156" s="117">
        <f t="shared" si="0"/>
        <v>112590</v>
      </c>
      <c r="BM156" s="117">
        <f t="shared" si="0"/>
        <v>111613</v>
      </c>
      <c r="BN156" s="117">
        <f t="shared" si="0"/>
        <v>122037</v>
      </c>
      <c r="BO156" s="117">
        <f t="shared" si="0"/>
        <v>118476</v>
      </c>
      <c r="BP156" s="117">
        <f t="shared" si="0"/>
        <v>123406</v>
      </c>
      <c r="BQ156" s="117">
        <f t="shared" si="0"/>
        <v>116606</v>
      </c>
      <c r="BR156" s="117">
        <f t="shared" si="0"/>
        <v>112348</v>
      </c>
      <c r="BS156" s="117">
        <f t="shared" si="0"/>
        <v>123862</v>
      </c>
      <c r="BT156" s="117">
        <f t="shared" si="0"/>
        <v>112466</v>
      </c>
      <c r="BU156" s="117">
        <f t="shared" si="0"/>
        <v>121940</v>
      </c>
      <c r="BV156" s="67">
        <f t="shared" ref="BV156" si="1">SUM(BJ156:BL156)</f>
        <v>345229</v>
      </c>
      <c r="BW156" s="67">
        <f t="shared" ref="BW156" si="2">SUM(BM156:BO156)</f>
        <v>352126</v>
      </c>
      <c r="BX156" s="67">
        <f t="shared" ref="BX156" si="3">SUM(BP156:BR156)</f>
        <v>352360</v>
      </c>
      <c r="BY156" s="67">
        <f t="shared" ref="BY156" si="4">SUM(BS156:BU156)</f>
        <v>358268</v>
      </c>
      <c r="BZ156" s="68">
        <f t="shared" ref="BZ156" si="5">FORECAST(46,$AD156:$BU156,$AD$3:$BU$3)*3</f>
        <v>352634.76300211414</v>
      </c>
      <c r="CA156" s="68">
        <f t="shared" ref="CA156" si="6">FORECAST(49,$AD156:$BU156,$AD$3:$BU$3)*3</f>
        <v>353518.63023255812</v>
      </c>
      <c r="CB156" s="68">
        <f t="shared" ref="CB156" si="7">FORECAST(52,$AD156:$BU156,$AD$3:$BU$3)*3</f>
        <v>354402.4974630021</v>
      </c>
      <c r="CC156" s="68">
        <f t="shared" ref="CC156" si="8">FORECAST(55,$AD156:$BU156,$AD$3:$BU$3)*3</f>
        <v>355286.36469344608</v>
      </c>
      <c r="CD156" s="68">
        <f t="shared" ref="CD156" si="9">FORECAST(58,$AD156:$BU156,$AD$3:$BU$3)*3</f>
        <v>356170.23192389007</v>
      </c>
      <c r="CE156" s="68">
        <f t="shared" ref="CE156" si="10">FORECAST(61,$AD156:$BU156,$AD$3:$BU$3)*3</f>
        <v>357054.09915433405</v>
      </c>
      <c r="CF156" s="68">
        <f t="shared" ref="CF156" si="11">FORECAST(64,$AD156:$BU156,$AD$3:$BU$3)*3</f>
        <v>357937.96638477803</v>
      </c>
      <c r="CG156" s="68">
        <f t="shared" ref="CG156" si="12">FORECAST(67,$AD156:$BU156,$AD$3:$BU$3)*3</f>
        <v>358821.83361522201</v>
      </c>
      <c r="CH156" s="118">
        <f t="shared" ref="CH156" si="13">SUM(CH5:CH155)</f>
        <v>42070200</v>
      </c>
      <c r="CI156" s="470">
        <f t="shared" ref="CI156:CL156" si="14">SUM(CI5:CI155)</f>
        <v>42359366</v>
      </c>
      <c r="CJ156" s="470">
        <f t="shared" si="14"/>
        <v>42688941.001000009</v>
      </c>
      <c r="CK156" s="470">
        <f t="shared" si="14"/>
        <v>43014837.050000027</v>
      </c>
      <c r="CL156" s="470">
        <f t="shared" si="14"/>
        <v>43338731.10900002</v>
      </c>
      <c r="CM156" s="115" t="s">
        <v>957</v>
      </c>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FF156" s="72">
        <f>SUM(FF5:FF155)</f>
        <v>53107169</v>
      </c>
      <c r="FG156" s="72">
        <f t="shared" ref="FG156:FK156" si="15">SUM(FG5:FG155)</f>
        <v>53493729</v>
      </c>
      <c r="FH156" s="476">
        <f t="shared" si="15"/>
        <v>53865817</v>
      </c>
      <c r="FI156" s="476">
        <f t="shared" si="15"/>
        <v>54227859.001000002</v>
      </c>
      <c r="FJ156" s="476">
        <f t="shared" si="15"/>
        <v>54613417.001999997</v>
      </c>
      <c r="FK156" s="476">
        <f t="shared" si="15"/>
        <v>55019792.990999974</v>
      </c>
    </row>
    <row r="159" spans="1:167">
      <c r="A159" s="2" t="s">
        <v>1151</v>
      </c>
    </row>
  </sheetData>
  <sheetProtection password="DABD" sheet="1" objects="1" scenarios="1" formatColumns="0" formatRows="0" autoFilter="0"/>
  <mergeCells count="3">
    <mergeCell ref="BZ3:CG3"/>
    <mergeCell ref="ET3:EW3"/>
    <mergeCell ref="EX3:FE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12"/>
  <sheetViews>
    <sheetView workbookViewId="0">
      <selection activeCell="H10" sqref="H10"/>
    </sheetView>
  </sheetViews>
  <sheetFormatPr defaultRowHeight="15.05"/>
  <sheetData>
    <row r="1" spans="1:1">
      <c r="A1" s="274" t="s">
        <v>1</v>
      </c>
    </row>
    <row r="2" spans="1:1">
      <c r="A2" s="274" t="s">
        <v>6</v>
      </c>
    </row>
    <row r="3" spans="1:1">
      <c r="A3" s="274" t="s">
        <v>13</v>
      </c>
    </row>
    <row r="4" spans="1:1">
      <c r="A4" s="274" t="s">
        <v>19</v>
      </c>
    </row>
    <row r="5" spans="1:1">
      <c r="A5" s="274" t="s">
        <v>26</v>
      </c>
    </row>
    <row r="6" spans="1:1">
      <c r="A6" s="274" t="s">
        <v>32</v>
      </c>
    </row>
    <row r="7" spans="1:1">
      <c r="A7" s="274" t="s">
        <v>645</v>
      </c>
    </row>
    <row r="8" spans="1:1">
      <c r="A8" s="274" t="s">
        <v>28</v>
      </c>
    </row>
    <row r="10" spans="1:1">
      <c r="A10" s="274" t="s">
        <v>1</v>
      </c>
    </row>
    <row r="11" spans="1:1">
      <c r="A11" s="274" t="s">
        <v>1338</v>
      </c>
    </row>
    <row r="12" spans="1:1">
      <c r="A12" s="274" t="s">
        <v>1339</v>
      </c>
    </row>
  </sheetData>
  <sheetProtection password="DABD" sheet="1" objects="1" scenarios="1" formatColumns="0" formatRows="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showGridLines="0" topLeftCell="B1" workbookViewId="0">
      <selection activeCell="E61" sqref="E61"/>
    </sheetView>
  </sheetViews>
  <sheetFormatPr defaultColWidth="9.109375" defaultRowHeight="15.05"/>
  <cols>
    <col min="1" max="1" width="0" style="2" hidden="1" customWidth="1"/>
    <col min="2" max="2" width="1.33203125" style="2" customWidth="1"/>
    <col min="3" max="3" width="44.5546875" style="2" customWidth="1"/>
    <col min="4" max="4" width="3" style="2" customWidth="1"/>
    <col min="5" max="9" width="9.109375" style="2"/>
    <col min="10" max="10" width="11.44140625" style="2" customWidth="1"/>
    <col min="11" max="11" width="9.109375" style="2" hidden="1" customWidth="1"/>
    <col min="12" max="16384" width="9.109375" style="2"/>
  </cols>
  <sheetData>
    <row r="1" spans="1:11" s="4" customFormat="1" ht="17.7">
      <c r="A1" s="138"/>
      <c r="B1" s="138"/>
      <c r="C1" s="142" t="s">
        <v>1528</v>
      </c>
      <c r="D1" s="138"/>
      <c r="E1" s="138"/>
      <c r="F1" s="138"/>
      <c r="G1" s="138"/>
      <c r="H1" s="138"/>
      <c r="I1" s="138"/>
      <c r="J1" s="254" t="s">
        <v>1173</v>
      </c>
    </row>
    <row r="2" spans="1:11">
      <c r="A2" s="135"/>
      <c r="B2" s="135"/>
      <c r="C2" s="135"/>
      <c r="D2" s="135"/>
      <c r="E2" s="135"/>
      <c r="F2" s="135"/>
      <c r="G2" s="135"/>
      <c r="H2" s="135"/>
      <c r="I2" s="135"/>
      <c r="J2" s="135" t="s">
        <v>1879</v>
      </c>
    </row>
    <row r="3" spans="1:11">
      <c r="A3" s="135"/>
      <c r="B3" s="135"/>
      <c r="C3" s="135" t="s">
        <v>1149</v>
      </c>
      <c r="D3" s="135"/>
      <c r="E3" s="135"/>
      <c r="F3" s="135"/>
      <c r="G3" s="135"/>
      <c r="H3" s="135"/>
      <c r="I3" s="135"/>
      <c r="J3" s="135"/>
    </row>
    <row r="4" spans="1:11" ht="15.75" thickBot="1">
      <c r="A4" s="135"/>
      <c r="B4" s="135"/>
      <c r="C4" s="135"/>
      <c r="D4" s="135"/>
      <c r="E4" s="135"/>
      <c r="F4" s="135"/>
      <c r="G4" s="135"/>
      <c r="H4" s="135"/>
      <c r="I4" s="135"/>
      <c r="J4" s="135"/>
    </row>
    <row r="5" spans="1:11" ht="18.350000000000001" thickBot="1">
      <c r="A5" s="135"/>
      <c r="B5" s="135"/>
      <c r="C5" s="227" t="s">
        <v>276</v>
      </c>
      <c r="D5" s="228" t="str">
        <f>VLOOKUP(C5,a!$P$2:$Q$154,2,FALSE)</f>
        <v>E06000016</v>
      </c>
      <c r="E5" s="135"/>
      <c r="F5" s="135"/>
      <c r="G5" s="135"/>
      <c r="H5" s="135"/>
      <c r="I5" s="135"/>
      <c r="J5" s="135"/>
    </row>
    <row r="6" spans="1:11">
      <c r="A6" s="135"/>
      <c r="B6" s="135"/>
      <c r="C6" s="135"/>
      <c r="D6" s="135"/>
      <c r="E6" s="135"/>
      <c r="F6" s="135"/>
      <c r="G6" s="135"/>
      <c r="H6" s="135"/>
      <c r="I6" s="135"/>
      <c r="J6" s="135"/>
    </row>
    <row r="7" spans="1:11">
      <c r="A7" s="135"/>
      <c r="B7" s="135"/>
      <c r="C7" s="135"/>
      <c r="D7" s="135"/>
      <c r="E7" s="135"/>
      <c r="F7" s="135"/>
      <c r="G7" s="135"/>
      <c r="H7" s="135"/>
      <c r="I7" s="135"/>
      <c r="J7" s="135"/>
    </row>
    <row r="8" spans="1:11">
      <c r="A8" s="135"/>
      <c r="B8" s="135"/>
      <c r="C8" s="135"/>
      <c r="D8" s="135"/>
      <c r="E8" s="135"/>
      <c r="F8" s="135"/>
      <c r="G8" s="135"/>
      <c r="H8" s="135"/>
      <c r="I8" s="135"/>
      <c r="J8" s="135"/>
    </row>
    <row r="9" spans="1:11">
      <c r="A9" s="135"/>
      <c r="B9" s="135"/>
      <c r="C9" s="135"/>
      <c r="D9" s="135"/>
      <c r="E9" s="135"/>
      <c r="F9" s="135"/>
      <c r="G9" s="135"/>
      <c r="H9" s="135"/>
      <c r="I9" s="135"/>
      <c r="J9" s="135"/>
    </row>
    <row r="10" spans="1:11">
      <c r="A10" s="135"/>
      <c r="B10" s="325"/>
      <c r="C10" s="657"/>
      <c r="D10" s="229"/>
      <c r="E10" s="229" t="s">
        <v>1533</v>
      </c>
      <c r="F10" s="657"/>
      <c r="G10" s="229"/>
      <c r="H10" s="229"/>
      <c r="I10" s="229"/>
      <c r="J10" s="230"/>
      <c r="K10" s="2" t="s">
        <v>1162</v>
      </c>
    </row>
    <row r="11" spans="1:11" hidden="1">
      <c r="A11" s="135"/>
      <c r="B11" s="326"/>
      <c r="C11" s="141" t="s">
        <v>1154</v>
      </c>
      <c r="D11" s="141" t="s">
        <v>1155</v>
      </c>
      <c r="E11" s="141" t="s">
        <v>1156</v>
      </c>
      <c r="F11" s="141" t="s">
        <v>1157</v>
      </c>
      <c r="G11" s="141" t="s">
        <v>1158</v>
      </c>
      <c r="H11" s="141" t="s">
        <v>1159</v>
      </c>
      <c r="I11" s="141" t="s">
        <v>1160</v>
      </c>
      <c r="J11" s="225" t="s">
        <v>1161</v>
      </c>
      <c r="K11" s="2" t="s">
        <v>1162</v>
      </c>
    </row>
    <row r="12" spans="1:11">
      <c r="A12" s="135"/>
      <c r="B12" s="326"/>
      <c r="C12" s="141"/>
      <c r="D12" s="141"/>
      <c r="E12" s="771" t="s">
        <v>1912</v>
      </c>
      <c r="F12" s="772"/>
      <c r="G12" s="772"/>
      <c r="H12" s="772"/>
      <c r="I12" s="773"/>
      <c r="J12" s="225"/>
      <c r="K12" s="2">
        <v>100</v>
      </c>
    </row>
    <row r="13" spans="1:11">
      <c r="A13" s="135"/>
      <c r="B13" s="326"/>
      <c r="C13" s="141"/>
      <c r="D13" s="141"/>
      <c r="E13" s="768" t="s">
        <v>1913</v>
      </c>
      <c r="F13" s="769"/>
      <c r="G13" s="769"/>
      <c r="H13" s="769"/>
      <c r="I13" s="770"/>
      <c r="J13" s="225"/>
      <c r="K13" s="2">
        <v>200</v>
      </c>
    </row>
    <row r="14" spans="1:11">
      <c r="A14" s="135"/>
      <c r="B14" s="327"/>
      <c r="C14" s="231"/>
      <c r="D14" s="231"/>
      <c r="E14" s="231"/>
      <c r="F14" s="231"/>
      <c r="G14" s="231"/>
      <c r="H14" s="231"/>
      <c r="I14" s="231"/>
      <c r="J14" s="232"/>
    </row>
    <row r="15" spans="1:11" hidden="1">
      <c r="A15" s="135"/>
      <c r="B15" s="135"/>
      <c r="C15" s="135"/>
      <c r="D15" s="135"/>
      <c r="E15" s="135"/>
      <c r="F15" s="135"/>
      <c r="G15" s="135"/>
      <c r="H15" s="135"/>
      <c r="I15" s="135"/>
      <c r="J15" s="135"/>
    </row>
    <row r="16" spans="1:11" hidden="1">
      <c r="A16" s="135"/>
      <c r="B16" s="325"/>
      <c r="C16" s="229"/>
      <c r="D16" s="229"/>
      <c r="E16" s="229"/>
      <c r="F16" s="229"/>
      <c r="G16" s="229"/>
      <c r="H16" s="229"/>
      <c r="I16" s="229"/>
      <c r="J16" s="230"/>
    </row>
    <row r="17" spans="1:11" hidden="1">
      <c r="A17" s="135"/>
      <c r="B17" s="326"/>
      <c r="C17" s="305" t="s">
        <v>1150</v>
      </c>
      <c r="D17" s="141"/>
      <c r="E17" s="141"/>
      <c r="F17" s="141"/>
      <c r="G17" s="141"/>
      <c r="H17" s="141"/>
      <c r="I17" s="141"/>
      <c r="J17" s="225"/>
    </row>
    <row r="18" spans="1:11" hidden="1">
      <c r="A18" s="135"/>
      <c r="B18" s="326"/>
      <c r="C18" s="141" t="s">
        <v>1154</v>
      </c>
      <c r="D18" s="141" t="s">
        <v>1155</v>
      </c>
      <c r="E18" s="141" t="s">
        <v>1156</v>
      </c>
      <c r="F18" s="141" t="s">
        <v>1157</v>
      </c>
      <c r="G18" s="141" t="s">
        <v>1158</v>
      </c>
      <c r="H18" s="141" t="s">
        <v>1159</v>
      </c>
      <c r="I18" s="141" t="s">
        <v>1160</v>
      </c>
      <c r="J18" s="225" t="s">
        <v>1161</v>
      </c>
      <c r="K18" s="2" t="s">
        <v>1162</v>
      </c>
    </row>
    <row r="19" spans="1:11" hidden="1">
      <c r="A19" s="135"/>
      <c r="B19" s="326"/>
      <c r="C19" s="756"/>
      <c r="D19" s="141"/>
      <c r="E19" s="759"/>
      <c r="F19" s="760"/>
      <c r="G19" s="760"/>
      <c r="H19" s="760"/>
      <c r="I19" s="761"/>
      <c r="J19" s="225"/>
      <c r="K19" s="2" t="s">
        <v>1182</v>
      </c>
    </row>
    <row r="20" spans="1:11" hidden="1">
      <c r="A20" s="135"/>
      <c r="B20" s="326"/>
      <c r="C20" s="757"/>
      <c r="D20" s="141"/>
      <c r="E20" s="762"/>
      <c r="F20" s="763"/>
      <c r="G20" s="763"/>
      <c r="H20" s="763"/>
      <c r="I20" s="764"/>
      <c r="J20" s="225"/>
      <c r="K20" s="2" t="s">
        <v>1183</v>
      </c>
    </row>
    <row r="21" spans="1:11" hidden="1">
      <c r="A21" s="135"/>
      <c r="B21" s="326"/>
      <c r="C21" s="758"/>
      <c r="D21" s="141"/>
      <c r="E21" s="765"/>
      <c r="F21" s="766"/>
      <c r="G21" s="766"/>
      <c r="H21" s="766"/>
      <c r="I21" s="767"/>
      <c r="J21" s="225"/>
      <c r="K21" s="2" t="s">
        <v>1184</v>
      </c>
    </row>
    <row r="22" spans="1:11" hidden="1">
      <c r="A22" s="135"/>
      <c r="B22" s="326"/>
      <c r="C22" s="141"/>
      <c r="D22" s="141"/>
      <c r="E22" s="141"/>
      <c r="F22" s="141"/>
      <c r="G22" s="141"/>
      <c r="H22" s="141"/>
      <c r="I22" s="141"/>
      <c r="J22" s="225"/>
      <c r="K22" s="2" t="s">
        <v>1169</v>
      </c>
    </row>
    <row r="23" spans="1:11" hidden="1">
      <c r="A23" s="135"/>
      <c r="B23" s="326"/>
      <c r="C23" s="141"/>
      <c r="D23" s="141"/>
      <c r="E23" s="141"/>
      <c r="F23" s="141"/>
      <c r="G23" s="141"/>
      <c r="H23" s="141"/>
      <c r="I23" s="141"/>
      <c r="J23" s="225"/>
      <c r="K23" s="2" t="s">
        <v>1188</v>
      </c>
    </row>
    <row r="24" spans="1:11" hidden="1">
      <c r="A24" s="135"/>
      <c r="B24" s="326"/>
      <c r="C24" s="328" t="s">
        <v>1174</v>
      </c>
      <c r="D24" s="141"/>
      <c r="E24" s="771" t="s">
        <v>1174</v>
      </c>
      <c r="F24" s="772"/>
      <c r="G24" s="772"/>
      <c r="H24" s="772"/>
      <c r="I24" s="773"/>
      <c r="J24" s="225"/>
      <c r="K24" s="2">
        <v>100</v>
      </c>
    </row>
    <row r="25" spans="1:11" hidden="1">
      <c r="A25" s="135"/>
      <c r="B25" s="326"/>
      <c r="C25" s="329" t="s">
        <v>1175</v>
      </c>
      <c r="D25" s="141"/>
      <c r="E25" s="774" t="s">
        <v>1175</v>
      </c>
      <c r="F25" s="775"/>
      <c r="G25" s="775"/>
      <c r="H25" s="775"/>
      <c r="I25" s="776"/>
      <c r="J25" s="225"/>
      <c r="K25" s="2">
        <v>101</v>
      </c>
    </row>
    <row r="26" spans="1:11" hidden="1">
      <c r="A26" s="135"/>
      <c r="B26" s="326"/>
      <c r="C26" s="329" t="s">
        <v>1176</v>
      </c>
      <c r="D26" s="141"/>
      <c r="E26" s="774" t="s">
        <v>1176</v>
      </c>
      <c r="F26" s="775"/>
      <c r="G26" s="775"/>
      <c r="H26" s="775"/>
      <c r="I26" s="776"/>
      <c r="J26" s="225"/>
      <c r="K26" s="2">
        <v>102</v>
      </c>
    </row>
    <row r="27" spans="1:11" hidden="1">
      <c r="A27" s="135"/>
      <c r="B27" s="326"/>
      <c r="C27" s="330" t="s">
        <v>1177</v>
      </c>
      <c r="D27" s="141"/>
      <c r="E27" s="768" t="s">
        <v>1177</v>
      </c>
      <c r="F27" s="769"/>
      <c r="G27" s="769"/>
      <c r="H27" s="769"/>
      <c r="I27" s="770"/>
      <c r="J27" s="225"/>
      <c r="K27" s="2">
        <v>103</v>
      </c>
    </row>
    <row r="28" spans="1:11" hidden="1">
      <c r="A28" s="135"/>
      <c r="B28" s="327"/>
      <c r="C28" s="231"/>
      <c r="D28" s="231"/>
      <c r="E28" s="231"/>
      <c r="F28" s="231"/>
      <c r="G28" s="231"/>
      <c r="H28" s="231"/>
      <c r="I28" s="231"/>
      <c r="J28" s="232"/>
    </row>
    <row r="29" spans="1:11" hidden="1">
      <c r="A29" s="135"/>
      <c r="B29" s="135"/>
      <c r="C29" s="135"/>
      <c r="D29" s="135"/>
      <c r="E29" s="135"/>
      <c r="F29" s="135"/>
      <c r="G29" s="135"/>
      <c r="H29" s="135"/>
      <c r="I29" s="135"/>
      <c r="J29" s="135"/>
    </row>
    <row r="30" spans="1:11" hidden="1">
      <c r="A30" s="135"/>
      <c r="B30" s="325"/>
      <c r="C30" s="229"/>
      <c r="D30" s="229"/>
      <c r="E30" s="229"/>
      <c r="F30" s="229"/>
      <c r="G30" s="229"/>
      <c r="H30" s="229"/>
      <c r="I30" s="229"/>
      <c r="J30" s="230"/>
    </row>
    <row r="31" spans="1:11" hidden="1">
      <c r="A31" s="135"/>
      <c r="B31" s="326"/>
      <c r="C31" s="305" t="s">
        <v>1178</v>
      </c>
      <c r="D31" s="141"/>
      <c r="E31" s="141"/>
      <c r="F31" s="141"/>
      <c r="G31" s="141"/>
      <c r="H31" s="141"/>
      <c r="I31" s="141"/>
      <c r="J31" s="225"/>
    </row>
    <row r="32" spans="1:11" hidden="1">
      <c r="A32" s="135"/>
      <c r="B32" s="326"/>
      <c r="C32" s="141" t="s">
        <v>1154</v>
      </c>
      <c r="D32" s="141" t="s">
        <v>1155</v>
      </c>
      <c r="E32" s="141" t="s">
        <v>1156</v>
      </c>
      <c r="F32" s="141" t="s">
        <v>1157</v>
      </c>
      <c r="G32" s="141" t="s">
        <v>1158</v>
      </c>
      <c r="H32" s="141" t="s">
        <v>1159</v>
      </c>
      <c r="I32" s="141" t="s">
        <v>1160</v>
      </c>
      <c r="J32" s="225" t="s">
        <v>1161</v>
      </c>
      <c r="K32" s="2" t="s">
        <v>1162</v>
      </c>
    </row>
    <row r="33" spans="1:11" hidden="1">
      <c r="A33" s="135"/>
      <c r="B33" s="326"/>
      <c r="C33" s="756"/>
      <c r="D33" s="141"/>
      <c r="E33" s="759"/>
      <c r="F33" s="760"/>
      <c r="G33" s="760"/>
      <c r="H33" s="760"/>
      <c r="I33" s="761"/>
      <c r="J33" s="225"/>
      <c r="K33" s="2" t="s">
        <v>1182</v>
      </c>
    </row>
    <row r="34" spans="1:11" hidden="1">
      <c r="A34" s="135"/>
      <c r="B34" s="326"/>
      <c r="C34" s="757"/>
      <c r="D34" s="141"/>
      <c r="E34" s="762"/>
      <c r="F34" s="763"/>
      <c r="G34" s="763"/>
      <c r="H34" s="763"/>
      <c r="I34" s="764"/>
      <c r="J34" s="225"/>
      <c r="K34" s="2" t="s">
        <v>1183</v>
      </c>
    </row>
    <row r="35" spans="1:11" hidden="1">
      <c r="A35" s="135"/>
      <c r="B35" s="326"/>
      <c r="C35" s="758"/>
      <c r="D35" s="141"/>
      <c r="E35" s="765"/>
      <c r="F35" s="766"/>
      <c r="G35" s="766"/>
      <c r="H35" s="766"/>
      <c r="I35" s="767"/>
      <c r="J35" s="225"/>
      <c r="K35" s="2" t="s">
        <v>1184</v>
      </c>
    </row>
    <row r="36" spans="1:11" hidden="1">
      <c r="A36" s="135"/>
      <c r="B36" s="326"/>
      <c r="C36" s="141"/>
      <c r="D36" s="141"/>
      <c r="E36" s="141"/>
      <c r="F36" s="141"/>
      <c r="G36" s="141"/>
      <c r="H36" s="141"/>
      <c r="I36" s="141"/>
      <c r="J36" s="225"/>
      <c r="K36" s="2" t="s">
        <v>1169</v>
      </c>
    </row>
    <row r="37" spans="1:11" hidden="1">
      <c r="A37" s="135"/>
      <c r="B37" s="326"/>
      <c r="C37" s="141"/>
      <c r="D37" s="141"/>
      <c r="E37" s="141"/>
      <c r="F37" s="141"/>
      <c r="G37" s="141"/>
      <c r="H37" s="141"/>
      <c r="I37" s="141"/>
      <c r="J37" s="225"/>
      <c r="K37" s="2" t="s">
        <v>1188</v>
      </c>
    </row>
    <row r="38" spans="1:11" hidden="1">
      <c r="A38" s="135"/>
      <c r="B38" s="326"/>
      <c r="C38" s="141"/>
      <c r="D38" s="141"/>
      <c r="E38" s="141"/>
      <c r="F38" s="141"/>
      <c r="G38" s="141"/>
      <c r="H38" s="141"/>
      <c r="I38" s="141"/>
      <c r="J38" s="225"/>
      <c r="K38" s="2" t="s">
        <v>1189</v>
      </c>
    </row>
    <row r="39" spans="1:11" hidden="1">
      <c r="A39" s="135"/>
      <c r="B39" s="326"/>
      <c r="C39" s="328" t="s">
        <v>1174</v>
      </c>
      <c r="D39" s="141"/>
      <c r="E39" s="771" t="s">
        <v>1174</v>
      </c>
      <c r="F39" s="772"/>
      <c r="G39" s="772"/>
      <c r="H39" s="772"/>
      <c r="I39" s="773"/>
      <c r="J39" s="225"/>
      <c r="K39" s="2">
        <v>100</v>
      </c>
    </row>
    <row r="40" spans="1:11" hidden="1">
      <c r="A40" s="135"/>
      <c r="B40" s="326"/>
      <c r="C40" s="329" t="s">
        <v>1175</v>
      </c>
      <c r="D40" s="141"/>
      <c r="E40" s="774" t="s">
        <v>1175</v>
      </c>
      <c r="F40" s="775"/>
      <c r="G40" s="775"/>
      <c r="H40" s="775"/>
      <c r="I40" s="776"/>
      <c r="J40" s="225"/>
      <c r="K40" s="2">
        <v>101</v>
      </c>
    </row>
    <row r="41" spans="1:11" hidden="1">
      <c r="A41" s="135"/>
      <c r="B41" s="326"/>
      <c r="C41" s="329" t="s">
        <v>1176</v>
      </c>
      <c r="D41" s="141"/>
      <c r="E41" s="774" t="s">
        <v>1176</v>
      </c>
      <c r="F41" s="775"/>
      <c r="G41" s="775"/>
      <c r="H41" s="775"/>
      <c r="I41" s="776"/>
      <c r="J41" s="225"/>
      <c r="K41" s="2">
        <v>102</v>
      </c>
    </row>
    <row r="42" spans="1:11" hidden="1">
      <c r="A42" s="135"/>
      <c r="B42" s="326"/>
      <c r="C42" s="330" t="s">
        <v>1177</v>
      </c>
      <c r="D42" s="141"/>
      <c r="E42" s="768" t="s">
        <v>1177</v>
      </c>
      <c r="F42" s="769"/>
      <c r="G42" s="769"/>
      <c r="H42" s="769"/>
      <c r="I42" s="770"/>
      <c r="J42" s="225"/>
      <c r="K42" s="2">
        <v>103</v>
      </c>
    </row>
    <row r="43" spans="1:11" hidden="1">
      <c r="A43" s="135"/>
      <c r="B43" s="326"/>
      <c r="C43" s="141"/>
      <c r="D43" s="141"/>
      <c r="E43" s="141"/>
      <c r="F43" s="141"/>
      <c r="G43" s="141"/>
      <c r="H43" s="141"/>
      <c r="I43" s="141"/>
      <c r="J43" s="225"/>
      <c r="K43" s="2" t="s">
        <v>1190</v>
      </c>
    </row>
    <row r="44" spans="1:11" hidden="1">
      <c r="A44" s="135"/>
      <c r="B44" s="326"/>
      <c r="C44" s="756"/>
      <c r="D44" s="141"/>
      <c r="E44" s="759"/>
      <c r="F44" s="760"/>
      <c r="G44" s="760"/>
      <c r="H44" s="760"/>
      <c r="I44" s="761"/>
      <c r="J44" s="225"/>
      <c r="K44" s="2" t="s">
        <v>1185</v>
      </c>
    </row>
    <row r="45" spans="1:11" hidden="1">
      <c r="A45" s="135"/>
      <c r="B45" s="326"/>
      <c r="C45" s="757"/>
      <c r="D45" s="141"/>
      <c r="E45" s="762"/>
      <c r="F45" s="763"/>
      <c r="G45" s="763"/>
      <c r="H45" s="763"/>
      <c r="I45" s="764"/>
      <c r="J45" s="225"/>
      <c r="K45" s="2" t="s">
        <v>1186</v>
      </c>
    </row>
    <row r="46" spans="1:11" hidden="1">
      <c r="A46" s="135"/>
      <c r="B46" s="326"/>
      <c r="C46" s="758"/>
      <c r="D46" s="141"/>
      <c r="E46" s="765"/>
      <c r="F46" s="766"/>
      <c r="G46" s="766"/>
      <c r="H46" s="766"/>
      <c r="I46" s="767"/>
      <c r="J46" s="225"/>
      <c r="K46" s="2" t="s">
        <v>1187</v>
      </c>
    </row>
    <row r="47" spans="1:11" hidden="1">
      <c r="A47" s="135"/>
      <c r="B47" s="326"/>
      <c r="C47" s="141"/>
      <c r="D47" s="141"/>
      <c r="E47" s="141"/>
      <c r="F47" s="141"/>
      <c r="G47" s="141"/>
      <c r="H47" s="141"/>
      <c r="I47" s="141"/>
      <c r="J47" s="225"/>
      <c r="K47" s="2" t="s">
        <v>1191</v>
      </c>
    </row>
    <row r="48" spans="1:11" hidden="1">
      <c r="A48" s="135"/>
      <c r="B48" s="326"/>
      <c r="C48" s="328" t="s">
        <v>1174</v>
      </c>
      <c r="D48" s="141"/>
      <c r="E48" s="771" t="s">
        <v>1174</v>
      </c>
      <c r="F48" s="772"/>
      <c r="G48" s="772"/>
      <c r="H48" s="772"/>
      <c r="I48" s="773"/>
      <c r="J48" s="225"/>
      <c r="K48" s="2">
        <v>200</v>
      </c>
    </row>
    <row r="49" spans="1:11" hidden="1">
      <c r="A49" s="135"/>
      <c r="B49" s="326"/>
      <c r="C49" s="329" t="s">
        <v>1175</v>
      </c>
      <c r="D49" s="141"/>
      <c r="E49" s="774" t="s">
        <v>1175</v>
      </c>
      <c r="F49" s="775"/>
      <c r="G49" s="775"/>
      <c r="H49" s="775"/>
      <c r="I49" s="776"/>
      <c r="J49" s="225"/>
      <c r="K49" s="2">
        <v>201</v>
      </c>
    </row>
    <row r="50" spans="1:11" hidden="1">
      <c r="A50" s="135"/>
      <c r="B50" s="326"/>
      <c r="C50" s="329" t="s">
        <v>1176</v>
      </c>
      <c r="D50" s="141"/>
      <c r="E50" s="774" t="s">
        <v>1176</v>
      </c>
      <c r="F50" s="775"/>
      <c r="G50" s="775"/>
      <c r="H50" s="775"/>
      <c r="I50" s="776"/>
      <c r="J50" s="225"/>
      <c r="K50" s="2">
        <v>202</v>
      </c>
    </row>
    <row r="51" spans="1:11" hidden="1">
      <c r="A51" s="135"/>
      <c r="B51" s="326"/>
      <c r="C51" s="330" t="s">
        <v>1177</v>
      </c>
      <c r="D51" s="141"/>
      <c r="E51" s="768" t="s">
        <v>1177</v>
      </c>
      <c r="F51" s="769"/>
      <c r="G51" s="769"/>
      <c r="H51" s="769"/>
      <c r="I51" s="770"/>
      <c r="J51" s="225"/>
      <c r="K51" s="2">
        <v>203</v>
      </c>
    </row>
    <row r="52" spans="1:11" hidden="1">
      <c r="A52" s="135"/>
      <c r="B52" s="327"/>
      <c r="C52" s="231"/>
      <c r="D52" s="231"/>
      <c r="E52" s="231"/>
      <c r="F52" s="231"/>
      <c r="G52" s="231"/>
      <c r="H52" s="231"/>
      <c r="I52" s="231"/>
      <c r="J52" s="232"/>
    </row>
  </sheetData>
  <sheetProtection password="DABD" sheet="1" objects="1" scenarios="1" formatColumns="0" formatRows="0" autoFilter="0"/>
  <mergeCells count="20">
    <mergeCell ref="E48:I48"/>
    <mergeCell ref="E49:I49"/>
    <mergeCell ref="E50:I50"/>
    <mergeCell ref="E51:I51"/>
    <mergeCell ref="E39:I39"/>
    <mergeCell ref="E40:I40"/>
    <mergeCell ref="E41:I41"/>
    <mergeCell ref="E12:I12"/>
    <mergeCell ref="E24:I24"/>
    <mergeCell ref="E13:I13"/>
    <mergeCell ref="E25:I25"/>
    <mergeCell ref="E26:I26"/>
    <mergeCell ref="C44:C46"/>
    <mergeCell ref="E33:I35"/>
    <mergeCell ref="E44:I46"/>
    <mergeCell ref="E19:I21"/>
    <mergeCell ref="C19:C21"/>
    <mergeCell ref="C33:C35"/>
    <mergeCell ref="E42:I42"/>
    <mergeCell ref="E27:I27"/>
  </mergeCells>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a!$P$2:$P$155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8"/>
  <sheetViews>
    <sheetView zoomScale="89" zoomScaleNormal="89" workbookViewId="0">
      <selection activeCell="B19" sqref="B19"/>
    </sheetView>
  </sheetViews>
  <sheetFormatPr defaultColWidth="9.109375" defaultRowHeight="15.05"/>
  <cols>
    <col min="1" max="1" width="54.5546875" style="2" customWidth="1"/>
    <col min="2" max="2" width="12.88671875" style="2" customWidth="1"/>
    <col min="3" max="3" width="0" style="2" hidden="1" customWidth="1"/>
    <col min="4" max="4" width="9.109375" style="2"/>
    <col min="5" max="5" width="58.5546875" style="2" bestFit="1" customWidth="1"/>
    <col min="6" max="6" width="11.6640625" style="2" customWidth="1"/>
    <col min="7" max="8" width="11.44140625" style="2" customWidth="1"/>
    <col min="9" max="9" width="10.44140625" style="2" bestFit="1" customWidth="1"/>
    <col min="10" max="10" width="9.109375" style="2" hidden="1" customWidth="1"/>
    <col min="11" max="16384" width="9.109375" style="2"/>
  </cols>
  <sheetData>
    <row r="1" spans="1:10" ht="17.7">
      <c r="A1" s="517" t="s">
        <v>1301</v>
      </c>
      <c r="B1" s="518"/>
      <c r="C1" s="529"/>
      <c r="D1" s="145"/>
      <c r="E1" s="145"/>
    </row>
    <row r="2" spans="1:10">
      <c r="A2" s="554" t="s">
        <v>1331</v>
      </c>
      <c r="B2" s="145"/>
      <c r="C2" s="530"/>
      <c r="D2" s="145"/>
      <c r="E2" s="145"/>
    </row>
    <row r="3" spans="1:10" ht="15.75" thickBot="1">
      <c r="A3" s="519"/>
      <c r="B3" s="145"/>
      <c r="C3" s="530"/>
      <c r="D3" s="145"/>
      <c r="E3" s="145"/>
    </row>
    <row r="4" spans="1:10" ht="18.350000000000001" thickBot="1">
      <c r="A4" s="253" t="str">
        <f>'HWB ID'!C5</f>
        <v>Leicester</v>
      </c>
      <c r="B4" s="234"/>
      <c r="C4" s="530"/>
      <c r="D4" s="145"/>
      <c r="E4" s="145"/>
    </row>
    <row r="5" spans="1:10" ht="15.75" thickBot="1">
      <c r="A5" s="520"/>
      <c r="B5" s="13"/>
      <c r="C5" s="521"/>
      <c r="D5" s="13"/>
      <c r="E5" s="777" t="s">
        <v>1333</v>
      </c>
      <c r="F5" s="777"/>
      <c r="G5" s="777"/>
      <c r="H5" s="777"/>
    </row>
    <row r="6" spans="1:10" ht="15.75" thickBot="1">
      <c r="A6" s="527" t="s">
        <v>1302</v>
      </c>
      <c r="B6" s="636" t="s">
        <v>1510</v>
      </c>
      <c r="C6" s="531" t="s">
        <v>1164</v>
      </c>
      <c r="D6" s="13"/>
      <c r="E6" s="13"/>
    </row>
    <row r="7" spans="1:10">
      <c r="A7" s="520"/>
      <c r="B7" s="521"/>
      <c r="C7" s="521" t="s">
        <v>1169</v>
      </c>
      <c r="D7" s="13"/>
      <c r="E7" s="565"/>
      <c r="F7" s="562" t="s">
        <v>1484</v>
      </c>
      <c r="G7" s="563" t="s">
        <v>1485</v>
      </c>
      <c r="H7" s="563" t="s">
        <v>1487</v>
      </c>
      <c r="I7" s="564" t="s">
        <v>1486</v>
      </c>
      <c r="J7" s="2" t="s">
        <v>1164</v>
      </c>
    </row>
    <row r="8" spans="1:10" hidden="1">
      <c r="A8" s="520"/>
      <c r="B8" s="521"/>
      <c r="C8" s="521" t="s">
        <v>1188</v>
      </c>
      <c r="D8" s="13"/>
      <c r="E8" s="520"/>
      <c r="F8" s="633"/>
      <c r="G8" s="634"/>
      <c r="H8" s="634"/>
      <c r="I8" s="635"/>
      <c r="J8" s="2" t="s">
        <v>1169</v>
      </c>
    </row>
    <row r="9" spans="1:10">
      <c r="A9" s="520" t="s">
        <v>1488</v>
      </c>
      <c r="B9" s="637">
        <f>I9</f>
        <v>28931</v>
      </c>
      <c r="C9" s="521">
        <v>100</v>
      </c>
      <c r="D9" s="13"/>
      <c r="E9" s="520" t="s">
        <v>1335</v>
      </c>
      <c r="F9" s="551">
        <f>'5. HWB P4P metric'!C10</f>
        <v>8276</v>
      </c>
      <c r="G9" s="552">
        <f>'5. HWB P4P metric'!D10+F9</f>
        <v>14905</v>
      </c>
      <c r="H9" s="552">
        <f>'5. HWB P4P metric'!E10+G9</f>
        <v>21955</v>
      </c>
      <c r="I9" s="553">
        <f>'5. HWB P4P metric'!F10+H9</f>
        <v>28931</v>
      </c>
      <c r="J9" s="2">
        <v>100</v>
      </c>
    </row>
    <row r="10" spans="1:10">
      <c r="A10" s="520"/>
      <c r="B10" s="637"/>
      <c r="C10" s="521" t="s">
        <v>1189</v>
      </c>
      <c r="D10" s="13"/>
      <c r="E10" s="520"/>
      <c r="F10" s="533"/>
      <c r="G10" s="515"/>
      <c r="H10" s="515"/>
      <c r="I10" s="522"/>
      <c r="J10" s="2" t="s">
        <v>1188</v>
      </c>
    </row>
    <row r="11" spans="1:10">
      <c r="A11" s="520" t="s">
        <v>1502</v>
      </c>
      <c r="B11" s="637">
        <f>I11</f>
        <v>-1013</v>
      </c>
      <c r="C11" s="521">
        <v>200</v>
      </c>
      <c r="D11" s="13"/>
      <c r="E11" s="520" t="s">
        <v>1504</v>
      </c>
      <c r="F11" s="533">
        <f>'5. HWB P4P metric'!G10-'5. HWB P4P metric'!C10</f>
        <v>-290</v>
      </c>
      <c r="G11" s="515">
        <f>'5. HWB P4P metric'!H10-'5. HWB P4P metric'!D10+F11</f>
        <v>-522</v>
      </c>
      <c r="H11" s="515">
        <f>'5. HWB P4P metric'!I10-'5. HWB P4P metric'!E10+G11</f>
        <v>-769</v>
      </c>
      <c r="I11" s="522">
        <f>'5. HWB P4P metric'!J10-'5. HWB P4P metric'!F10+H11</f>
        <v>-1013</v>
      </c>
      <c r="J11" s="2">
        <v>200</v>
      </c>
    </row>
    <row r="12" spans="1:10">
      <c r="A12" s="520"/>
      <c r="B12" s="637"/>
      <c r="C12" s="521" t="s">
        <v>1190</v>
      </c>
      <c r="D12" s="13"/>
      <c r="E12" s="520"/>
      <c r="F12" s="533"/>
      <c r="G12" s="515"/>
      <c r="H12" s="515"/>
      <c r="I12" s="522"/>
      <c r="J12" s="2" t="s">
        <v>1189</v>
      </c>
    </row>
    <row r="13" spans="1:10" ht="15.75" thickBot="1">
      <c r="A13" s="520" t="s">
        <v>1503</v>
      </c>
      <c r="B13" s="638">
        <f>IFERROR(B11/B9,0)</f>
        <v>-3.5014344474784832E-2</v>
      </c>
      <c r="C13" s="521">
        <v>300</v>
      </c>
      <c r="D13" s="13"/>
      <c r="E13" s="520" t="s">
        <v>1505</v>
      </c>
      <c r="F13" s="534">
        <f>F11/$I$9</f>
        <v>-1.0023849849642252E-2</v>
      </c>
      <c r="G13" s="516">
        <f>G11/$I$9</f>
        <v>-1.8042929729356054E-2</v>
      </c>
      <c r="H13" s="516">
        <f>H11/$I$9</f>
        <v>-2.6580484601292732E-2</v>
      </c>
      <c r="I13" s="523">
        <f>I11/$I$9</f>
        <v>-3.5014344474784832E-2</v>
      </c>
      <c r="J13" s="2">
        <v>300</v>
      </c>
    </row>
    <row r="14" spans="1:10" ht="16.399999999999999" thickTop="1" thickBot="1">
      <c r="A14" s="526"/>
      <c r="B14" s="639"/>
      <c r="C14" s="532" t="s">
        <v>1191</v>
      </c>
      <c r="D14" s="13"/>
      <c r="E14" s="526"/>
      <c r="F14" s="535"/>
      <c r="G14" s="528"/>
      <c r="H14" s="528"/>
      <c r="I14" s="566"/>
      <c r="J14" s="2" t="s">
        <v>1190</v>
      </c>
    </row>
    <row r="15" spans="1:10">
      <c r="A15" s="520"/>
      <c r="B15" s="637"/>
      <c r="C15" s="521" t="s">
        <v>1506</v>
      </c>
      <c r="D15" s="13"/>
      <c r="E15" s="520"/>
      <c r="F15" s="555"/>
      <c r="G15" s="556"/>
      <c r="H15" s="556"/>
      <c r="I15" s="557"/>
      <c r="J15" s="2" t="s">
        <v>1191</v>
      </c>
    </row>
    <row r="16" spans="1:10">
      <c r="A16" s="524" t="s">
        <v>1322</v>
      </c>
      <c r="B16" s="637"/>
      <c r="C16" s="521" t="s">
        <v>1165</v>
      </c>
      <c r="D16" s="13"/>
      <c r="E16" s="520"/>
      <c r="F16" s="558"/>
      <c r="G16" s="559"/>
      <c r="H16" s="559"/>
      <c r="I16" s="560"/>
      <c r="J16" s="2" t="s">
        <v>1506</v>
      </c>
    </row>
    <row r="17" spans="1:10">
      <c r="A17" s="525" t="s">
        <v>1303</v>
      </c>
      <c r="B17" s="637"/>
      <c r="C17" s="521" t="s">
        <v>1167</v>
      </c>
      <c r="D17" s="13"/>
      <c r="E17" s="520"/>
      <c r="F17" s="558"/>
      <c r="G17" s="559"/>
      <c r="H17" s="559"/>
      <c r="I17" s="561"/>
      <c r="J17" s="2" t="s">
        <v>1507</v>
      </c>
    </row>
    <row r="18" spans="1:10">
      <c r="A18" s="520"/>
      <c r="B18" s="637"/>
      <c r="C18" s="521" t="s">
        <v>1507</v>
      </c>
      <c r="D18" s="13"/>
      <c r="E18" s="520"/>
      <c r="F18" s="558"/>
      <c r="G18" s="559"/>
      <c r="H18" s="559"/>
      <c r="I18" s="561"/>
      <c r="J18" s="2" t="s">
        <v>1508</v>
      </c>
    </row>
    <row r="19" spans="1:10" ht="15.75" thickBot="1">
      <c r="A19" s="520" t="s">
        <v>1323</v>
      </c>
      <c r="B19" s="637">
        <f>IF('5. HWB P4P metric'!H14&lt;0,0,'5. HWB P4P metric'!H14)</f>
        <v>1509370</v>
      </c>
      <c r="C19" s="521">
        <v>400</v>
      </c>
      <c r="D19" s="13"/>
      <c r="E19" s="526" t="s">
        <v>1334</v>
      </c>
      <c r="F19" s="535">
        <f>MIN(IF(F11/$I$11*$B$19&lt;0,0,F11/$I$11*$B$19),B19)</f>
        <v>432100</v>
      </c>
      <c r="G19" s="528">
        <f>MIN(IF(G11/$I$11*$B$19-F19&lt;0,0,G11/$I$11*$B$19-F19),B19-F19)</f>
        <v>345680</v>
      </c>
      <c r="H19" s="528">
        <f>MIN(IF(H11/$I$11*$B$19-G19-F19&lt;0,0,H11/$I$11*$B$19-G19-F19),B19-G19-F19)</f>
        <v>368030</v>
      </c>
      <c r="I19" s="648">
        <f>MIN(IF(I11/$I$11*$B$19-H19-G19-F19&lt;0,0,I11/$I$11*$B$19-H19-G19-F19),B19-H19-G19-F19)</f>
        <v>363560</v>
      </c>
      <c r="J19" s="2">
        <v>400</v>
      </c>
    </row>
    <row r="20" spans="1:10">
      <c r="A20" s="520"/>
      <c r="B20" s="637"/>
      <c r="C20" s="521" t="s">
        <v>1508</v>
      </c>
      <c r="D20" s="13"/>
      <c r="E20" s="13"/>
    </row>
    <row r="21" spans="1:10">
      <c r="A21" s="520" t="s">
        <v>1324</v>
      </c>
      <c r="B21" s="637">
        <f>IFERROR(VLOOKUP(A4,a!$AU$4:$AV$156,2,FALSE)*1000,0)</f>
        <v>6180346.8208092479</v>
      </c>
      <c r="C21" s="521">
        <v>500</v>
      </c>
      <c r="D21" s="13"/>
      <c r="E21" s="13"/>
    </row>
    <row r="22" spans="1:10">
      <c r="A22" s="520"/>
      <c r="B22" s="637"/>
      <c r="C22" s="521" t="s">
        <v>1509</v>
      </c>
      <c r="D22" s="13"/>
      <c r="E22" s="13"/>
      <c r="F22" s="578"/>
    </row>
    <row r="23" spans="1:10">
      <c r="A23" s="520" t="s">
        <v>1325</v>
      </c>
      <c r="B23" s="637">
        <f>IF(B21-B19&lt;0,0,B21-B19)</f>
        <v>4670976.8208092479</v>
      </c>
      <c r="C23" s="521">
        <v>600</v>
      </c>
      <c r="D23" s="13"/>
      <c r="E23" s="13"/>
      <c r="F23" s="577"/>
    </row>
    <row r="24" spans="1:10">
      <c r="A24" s="520"/>
      <c r="B24" s="521"/>
      <c r="C24" s="521" t="s">
        <v>1512</v>
      </c>
      <c r="D24" s="13"/>
      <c r="E24" s="13"/>
    </row>
    <row r="25" spans="1:10">
      <c r="A25" s="520" t="s">
        <v>1304</v>
      </c>
      <c r="B25" s="637">
        <f>'3. HWB Expenditure Plan'!N109*1000</f>
        <v>7257000</v>
      </c>
      <c r="C25" s="521">
        <v>700</v>
      </c>
      <c r="D25" s="13"/>
      <c r="E25" s="13"/>
    </row>
    <row r="26" spans="1:10">
      <c r="A26" s="520"/>
      <c r="B26" s="521"/>
      <c r="C26" s="521" t="s">
        <v>1513</v>
      </c>
      <c r="D26" s="13"/>
      <c r="E26" s="13"/>
    </row>
    <row r="27" spans="1:10" ht="15.75" thickBot="1">
      <c r="A27" s="520" t="s">
        <v>1305</v>
      </c>
      <c r="B27" s="640">
        <f>IF((B23-B25)&lt;0,0,(B23-B25))</f>
        <v>0</v>
      </c>
      <c r="C27" s="521">
        <v>800</v>
      </c>
      <c r="D27" s="13"/>
      <c r="E27" s="13"/>
    </row>
    <row r="28" spans="1:10" ht="16.399999999999999" thickTop="1" thickBot="1">
      <c r="A28" s="526"/>
      <c r="B28" s="532"/>
      <c r="C28" s="532"/>
      <c r="D28" s="13"/>
      <c r="E28" s="13"/>
    </row>
  </sheetData>
  <sheetProtection password="DABD" sheet="1" objects="1" scenarios="1" formatColumns="0" formatRows="0" autoFilter="0"/>
  <mergeCells count="1">
    <mergeCell ref="E5:H5"/>
  </mergeCells>
  <conditionalFormatting sqref="B13">
    <cfRule type="expression" dxfId="40" priority="1">
      <formula>B13&lt;=-3.5%</formula>
    </cfRule>
    <cfRule type="expression" dxfId="39" priority="4">
      <formula>$B$13&lt;0</formula>
    </cfRule>
    <cfRule type="expression" dxfId="38" priority="5">
      <formula>B13&gt;-3.5%</formula>
    </cfRule>
  </conditionalFormatting>
  <conditionalFormatting sqref="B27">
    <cfRule type="expression" dxfId="37" priority="2">
      <formula>B27=0</formula>
    </cfRule>
    <cfRule type="expression" dxfId="36" priority="3">
      <formula>B27&gt;0</formula>
    </cfRule>
  </conditionalFormatting>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8"/>
  <sheetViews>
    <sheetView showGridLines="0" zoomScale="85" zoomScaleNormal="85" workbookViewId="0">
      <pane ySplit="5" topLeftCell="A6" activePane="bottomLeft" state="frozen"/>
      <selection activeCell="T10" sqref="T10"/>
      <selection pane="bottomLeft" activeCell="C20" sqref="C20"/>
    </sheetView>
  </sheetViews>
  <sheetFormatPr defaultColWidth="9.109375" defaultRowHeight="14.4"/>
  <cols>
    <col min="1" max="1" width="62.33203125" style="4" customWidth="1"/>
    <col min="2" max="3" width="13" style="4" customWidth="1"/>
    <col min="4" max="4" width="9.109375" style="4" hidden="1" customWidth="1"/>
    <col min="5" max="5" width="48" style="4" bestFit="1" customWidth="1"/>
    <col min="6" max="16384" width="9.109375" style="4"/>
  </cols>
  <sheetData>
    <row r="1" spans="1:5" ht="17.7">
      <c r="A1" s="142" t="s">
        <v>971</v>
      </c>
      <c r="B1" s="138"/>
      <c r="C1" s="138"/>
      <c r="D1" s="138"/>
      <c r="E1" s="138"/>
    </row>
    <row r="2" spans="1:5">
      <c r="A2" s="138"/>
      <c r="B2" s="138"/>
      <c r="C2" s="138"/>
      <c r="D2" s="138"/>
      <c r="E2" s="138"/>
    </row>
    <row r="3" spans="1:5" ht="18.850000000000001" customHeight="1" thickBot="1">
      <c r="A3" s="233"/>
      <c r="B3" s="145"/>
      <c r="C3" s="138"/>
      <c r="D3" s="138"/>
      <c r="E3" s="138"/>
    </row>
    <row r="4" spans="1:5" ht="30.8" customHeight="1" thickBot="1">
      <c r="A4" s="253" t="str">
        <f>'HWB ID'!C5</f>
        <v>Leicester</v>
      </c>
      <c r="B4" s="234" t="str">
        <f>VLOOKUP(A4,a!$AA$3:$AB$154,2,FALSE)</f>
        <v>E06000016</v>
      </c>
      <c r="C4" s="138"/>
      <c r="D4" s="138"/>
      <c r="E4" s="138"/>
    </row>
    <row r="5" spans="1:5">
      <c r="A5" s="138"/>
      <c r="B5" s="138"/>
      <c r="C5" s="138"/>
      <c r="D5" s="138"/>
      <c r="E5" s="138"/>
    </row>
    <row r="6" spans="1:5" ht="15.05" thickBot="1">
      <c r="A6" s="630" t="s">
        <v>961</v>
      </c>
      <c r="B6" s="138"/>
      <c r="C6" s="138"/>
      <c r="D6" s="138"/>
      <c r="E6" s="138"/>
    </row>
    <row r="7" spans="1:5" ht="31.6" customHeight="1" thickBot="1">
      <c r="A7" s="138"/>
      <c r="B7" s="778" t="s">
        <v>1332</v>
      </c>
      <c r="C7" s="779"/>
      <c r="D7" s="138"/>
      <c r="E7" s="138"/>
    </row>
    <row r="8" spans="1:5">
      <c r="A8" s="235" t="s">
        <v>1163</v>
      </c>
      <c r="B8" s="236" t="s">
        <v>642</v>
      </c>
      <c r="C8" s="237" t="s">
        <v>643</v>
      </c>
      <c r="D8" s="238" t="s">
        <v>1164</v>
      </c>
      <c r="E8" s="138"/>
    </row>
    <row r="9" spans="1:5">
      <c r="A9" s="239" t="s">
        <v>646</v>
      </c>
      <c r="B9" s="240"/>
      <c r="C9" s="241"/>
      <c r="D9" s="138" t="s">
        <v>1165</v>
      </c>
      <c r="E9" s="138"/>
    </row>
    <row r="10" spans="1:5">
      <c r="A10" s="242" t="s">
        <v>276</v>
      </c>
      <c r="B10" s="243">
        <v>12336</v>
      </c>
      <c r="C10" s="244">
        <v>1877</v>
      </c>
      <c r="D10" s="138">
        <v>100</v>
      </c>
      <c r="E10" s="138"/>
    </row>
    <row r="11" spans="1:5">
      <c r="A11" s="242" t="s">
        <v>801</v>
      </c>
      <c r="B11" s="243"/>
      <c r="C11" s="244"/>
      <c r="D11" s="138">
        <v>101</v>
      </c>
      <c r="E11" s="138"/>
    </row>
    <row r="12" spans="1:5">
      <c r="A12" s="242" t="s">
        <v>801</v>
      </c>
      <c r="B12" s="243"/>
      <c r="C12" s="244"/>
      <c r="D12" s="138"/>
      <c r="E12" s="138"/>
    </row>
    <row r="13" spans="1:5">
      <c r="A13" s="242" t="s">
        <v>801</v>
      </c>
      <c r="B13" s="243"/>
      <c r="C13" s="244"/>
      <c r="D13" s="138"/>
      <c r="E13" s="138"/>
    </row>
    <row r="14" spans="1:5">
      <c r="A14" s="242" t="s">
        <v>801</v>
      </c>
      <c r="B14" s="243"/>
      <c r="C14" s="244"/>
      <c r="D14" s="138">
        <v>102</v>
      </c>
      <c r="E14" s="138"/>
    </row>
    <row r="15" spans="1:5">
      <c r="A15" s="242" t="s">
        <v>801</v>
      </c>
      <c r="B15" s="243"/>
      <c r="C15" s="244"/>
      <c r="D15" s="138">
        <v>103</v>
      </c>
      <c r="E15" s="138"/>
    </row>
    <row r="16" spans="1:5">
      <c r="A16" s="242" t="s">
        <v>801</v>
      </c>
      <c r="B16" s="243"/>
      <c r="C16" s="244"/>
      <c r="D16" s="138">
        <v>104</v>
      </c>
      <c r="E16" s="138"/>
    </row>
    <row r="17" spans="1:5">
      <c r="A17" s="245" t="s">
        <v>648</v>
      </c>
      <c r="B17" s="246">
        <f>SUM(B10:B16)</f>
        <v>12336</v>
      </c>
      <c r="C17" s="247">
        <f>SUM(C10:C16)</f>
        <v>1877</v>
      </c>
      <c r="D17" s="138" t="s">
        <v>1166</v>
      </c>
      <c r="E17" s="138"/>
    </row>
    <row r="18" spans="1:5">
      <c r="A18" s="503"/>
      <c r="B18" s="504"/>
      <c r="C18" s="505"/>
      <c r="D18" s="138" t="s">
        <v>1169</v>
      </c>
      <c r="E18" s="138"/>
    </row>
    <row r="19" spans="1:5">
      <c r="A19" s="239" t="s">
        <v>1296</v>
      </c>
      <c r="B19" s="248"/>
      <c r="C19" s="249"/>
      <c r="D19" s="138" t="s">
        <v>1167</v>
      </c>
      <c r="E19" s="138"/>
    </row>
    <row r="20" spans="1:5" ht="15.05">
      <c r="A20" s="2" t="str">
        <f>IF(ISERROR(VLOOKUP($A$4&amp;ROW()-19,a!$AM$3:$AP$347,3,FALSE)),"-",VLOOKUP($A$4&amp;ROW()-19,a!$AM$3:$AP$347,3,FALSE))</f>
        <v>NHS Leicester City CCG</v>
      </c>
      <c r="B20" s="248"/>
      <c r="C20" s="249">
        <f>IF(ISERROR(VLOOKUP($A$4&amp;ROW()-19,a!$AM$3:$AP$347,4,FALSE)),"-",VLOOKUP($A$4&amp;ROW()-19,a!$AM$3:$AP$347,4,FALSE))</f>
        <v>21384</v>
      </c>
      <c r="D20" s="138">
        <v>200</v>
      </c>
      <c r="E20" s="138"/>
    </row>
    <row r="21" spans="1:5" ht="15.05">
      <c r="A21" s="2" t="str">
        <f>IF(ISERROR(VLOOKUP($A$4&amp;ROW()-19,a!$AM$3:$AP$347,3,FALSE)),"-",VLOOKUP($A$4&amp;ROW()-19,a!$AM$3:$AP$347,3,FALSE))</f>
        <v>-</v>
      </c>
      <c r="B21" s="248"/>
      <c r="C21" s="249" t="str">
        <f>IF(ISERROR(VLOOKUP($A$4&amp;ROW()-19,a!$AM$3:$AP$347,4,FALSE)),"-",VLOOKUP($A$4&amp;ROW()-19,a!$AM$3:$AP$347,4,FALSE))</f>
        <v>-</v>
      </c>
      <c r="D21" s="138">
        <v>201</v>
      </c>
      <c r="E21" s="138"/>
    </row>
    <row r="22" spans="1:5" ht="15.05">
      <c r="A22" s="2" t="str">
        <f>IF(ISERROR(VLOOKUP($A$4&amp;ROW()-19,a!$AM$3:$AP$347,3,FALSE)),"-",VLOOKUP($A$4&amp;ROW()-19,a!$AM$3:$AP$347,3,FALSE))</f>
        <v>-</v>
      </c>
      <c r="B22" s="248"/>
      <c r="C22" s="249" t="str">
        <f>IF(ISERROR(VLOOKUP($A$4&amp;ROW()-19,a!$AM$3:$AP$347,4,FALSE)),"-",VLOOKUP($A$4&amp;ROW()-19,a!$AM$3:$AP$347,4,FALSE))</f>
        <v>-</v>
      </c>
      <c r="D22" s="138">
        <v>202</v>
      </c>
      <c r="E22" s="138"/>
    </row>
    <row r="23" spans="1:5" ht="15.05">
      <c r="A23" s="2" t="str">
        <f>IF(ISERROR(VLOOKUP($A$4&amp;ROW()-19,a!$AM$3:$AP$347,3,FALSE)),"-",VLOOKUP($A$4&amp;ROW()-19,a!$AM$3:$AP$347,3,FALSE))</f>
        <v>-</v>
      </c>
      <c r="B23" s="248"/>
      <c r="C23" s="249" t="str">
        <f>IF(ISERROR(VLOOKUP($A$4&amp;ROW()-19,a!$AM$3:$AP$347,4,FALSE)),"-",VLOOKUP($A$4&amp;ROW()-19,a!$AM$3:$AP$347,4,FALSE))</f>
        <v>-</v>
      </c>
      <c r="D23" s="138">
        <v>203</v>
      </c>
      <c r="E23" s="138"/>
    </row>
    <row r="24" spans="1:5" ht="15.05">
      <c r="A24" s="2" t="str">
        <f>IF(ISERROR(VLOOKUP($A$4&amp;ROW()-19,a!$AM$3:$AP$347,3,FALSE)),"-",VLOOKUP($A$4&amp;ROW()-19,a!$AM$3:$AP$347,3,FALSE))</f>
        <v>-</v>
      </c>
      <c r="B24" s="248"/>
      <c r="C24" s="249" t="str">
        <f>IF(ISERROR(VLOOKUP($A$4&amp;ROW()-19,a!$AM$3:$AP$347,4,FALSE)),"-",VLOOKUP($A$4&amp;ROW()-19,a!$AM$3:$AP$347,4,FALSE))</f>
        <v>-</v>
      </c>
      <c r="D24" s="138">
        <v>204</v>
      </c>
      <c r="E24" s="138"/>
    </row>
    <row r="25" spans="1:5" ht="15.05">
      <c r="A25" s="2" t="str">
        <f>IF(ISERROR(VLOOKUP($A$4&amp;ROW()-19,a!$AM$3:$AP$347,3,FALSE)),"-",VLOOKUP($A$4&amp;ROW()-19,a!$AM$3:$AP$347,3,FALSE))</f>
        <v>-</v>
      </c>
      <c r="B25" s="248"/>
      <c r="C25" s="249" t="str">
        <f>IF(ISERROR(VLOOKUP($A$4&amp;ROW()-19,a!$AM$3:$AP$347,4,FALSE)),"-",VLOOKUP($A$4&amp;ROW()-19,a!$AM$3:$AP$347,4,FALSE))</f>
        <v>-</v>
      </c>
      <c r="D25" s="138">
        <v>205</v>
      </c>
      <c r="E25" s="138"/>
    </row>
    <row r="26" spans="1:5" ht="15.05">
      <c r="A26" s="2" t="str">
        <f>IF(ISERROR(VLOOKUP($A$4&amp;ROW()-19,a!$AM$3:$AP$347,3,FALSE)),"-",VLOOKUP($A$4&amp;ROW()-19,a!$AM$3:$AP$347,3,FALSE))</f>
        <v>-</v>
      </c>
      <c r="B26" s="248"/>
      <c r="C26" s="249" t="str">
        <f>IF(ISERROR(VLOOKUP($A$4&amp;ROW()-19,a!$AM$3:$AP$347,4,FALSE)),"-",VLOOKUP($A$4&amp;ROW()-19,a!$AM$3:$AP$347,4,FALSE))</f>
        <v>-</v>
      </c>
      <c r="D26" s="138">
        <v>206</v>
      </c>
      <c r="E26" s="138"/>
    </row>
    <row r="27" spans="1:5">
      <c r="A27" s="245" t="s">
        <v>1297</v>
      </c>
      <c r="B27" s="246">
        <f>SUM(B20:B25)</f>
        <v>0</v>
      </c>
      <c r="C27" s="247">
        <f>SUM(C20:C26)</f>
        <v>21384</v>
      </c>
      <c r="D27" s="138" t="s">
        <v>1168</v>
      </c>
      <c r="E27" s="138"/>
    </row>
    <row r="28" spans="1:5" hidden="1">
      <c r="A28" s="503"/>
      <c r="B28" s="504"/>
      <c r="C28" s="505"/>
      <c r="D28" s="138" t="s">
        <v>1188</v>
      </c>
      <c r="E28" s="138"/>
    </row>
    <row r="29" spans="1:5" hidden="1">
      <c r="A29" s="239" t="s">
        <v>1313</v>
      </c>
      <c r="B29" s="248"/>
      <c r="C29" s="249"/>
      <c r="D29" s="138" t="s">
        <v>1167</v>
      </c>
      <c r="E29" s="138"/>
    </row>
    <row r="30" spans="1:5" ht="15.05" hidden="1">
      <c r="A30" s="2" t="str">
        <f>IF(ISERROR(VLOOKUP($A$4&amp;ROW()-26,a!$AX$2:$BA$244,3,FALSE)),"-",VLOOKUP($A$4&amp;ROW()-26,a!$AX$2:$BA$244,3,FALSE))</f>
        <v>-</v>
      </c>
      <c r="B30" s="506"/>
      <c r="C30" s="507" t="str">
        <f>IF(ISERROR(VLOOKUP($A$4&amp;ROW()-26,a!$AX$2:$BA$244,4,FALSE)),"-",VLOOKUP($A$4&amp;ROW()-26,a!$AX$2:$BA$244,4,FALSE))</f>
        <v>-</v>
      </c>
      <c r="D30" s="138">
        <v>300</v>
      </c>
      <c r="E30" s="138"/>
    </row>
    <row r="31" spans="1:5" ht="15.05" hidden="1">
      <c r="A31" s="2" t="str">
        <f>IF(ISERROR(VLOOKUP($A$4&amp;ROW()-26,a!$AX$2:$BA$244,3,FALSE)),"-",VLOOKUP($A$4&amp;ROW()-26,a!$AX$2:$BA$244,3,FALSE))</f>
        <v>-</v>
      </c>
      <c r="B31" s="506"/>
      <c r="C31" s="507" t="str">
        <f>IF(ISERROR(VLOOKUP($A$4&amp;ROW()-26,a!$AX$2:$BA$244,4,FALSE)),"-",VLOOKUP($A$4&amp;ROW()-26,a!$AX$2:$BA$244,4,FALSE))</f>
        <v>-</v>
      </c>
      <c r="D31" s="138">
        <v>301</v>
      </c>
      <c r="E31" s="138"/>
    </row>
    <row r="32" spans="1:5" ht="15.05" hidden="1">
      <c r="A32" s="2" t="str">
        <f>IF(ISERROR(VLOOKUP($A$4&amp;ROW()-26,a!$AX$2:$BA$244,3,FALSE)),"-",VLOOKUP($A$4&amp;ROW()-26,a!$AX$2:$BA$244,3,FALSE))</f>
        <v>-</v>
      </c>
      <c r="B32" s="506"/>
      <c r="C32" s="507" t="str">
        <f>IF(ISERROR(VLOOKUP($A$4&amp;ROW()-26,a!$AX$2:$BA$244,4,FALSE)),"-",VLOOKUP($A$4&amp;ROW()-26,a!$AX$2:$BA$244,4,FALSE))</f>
        <v>-</v>
      </c>
      <c r="D32" s="138">
        <v>302</v>
      </c>
      <c r="E32" s="138"/>
    </row>
    <row r="33" spans="1:5" ht="15.05" hidden="1">
      <c r="A33" s="2" t="str">
        <f>IF(ISERROR(VLOOKUP($A$4&amp;ROW()-26,a!$AX$2:$BA$244,3,FALSE)),"-",VLOOKUP($A$4&amp;ROW()-26,a!$AX$2:$BA$244,3,FALSE))</f>
        <v>-</v>
      </c>
      <c r="B33" s="506"/>
      <c r="C33" s="507" t="str">
        <f>IF(ISERROR(VLOOKUP($A$4&amp;ROW()-26,a!$AX$2:$BA$244,4,FALSE)),"-",VLOOKUP($A$4&amp;ROW()-26,a!$AX$2:$BA$244,4,FALSE))</f>
        <v>-</v>
      </c>
      <c r="D33" s="138">
        <v>303</v>
      </c>
      <c r="E33" s="138"/>
    </row>
    <row r="34" spans="1:5" ht="15.05" hidden="1">
      <c r="A34" s="2" t="str">
        <f>IF(ISERROR(VLOOKUP($A$4&amp;ROW()-26,a!$AX$2:$BA$244,3,FALSE)),"-",VLOOKUP($A$4&amp;ROW()-26,a!$AX$2:$BA$244,3,FALSE))</f>
        <v>-</v>
      </c>
      <c r="B34" s="506"/>
      <c r="C34" s="507" t="str">
        <f>IF(ISERROR(VLOOKUP($A$4&amp;ROW()-26,a!$AX$2:$BA$244,4,FALSE)),"-",VLOOKUP($A$4&amp;ROW()-26,a!$AX$2:$BA$244,4,FALSE))</f>
        <v>-</v>
      </c>
      <c r="D34" s="138">
        <v>304</v>
      </c>
      <c r="E34" s="138"/>
    </row>
    <row r="35" spans="1:5" ht="15.05" hidden="1">
      <c r="A35" s="2" t="str">
        <f>IF(ISERROR(VLOOKUP($A$4&amp;ROW()-26,a!$AX$2:$BA$244,3,FALSE)),"-",VLOOKUP($A$4&amp;ROW()-26,a!$AX$2:$BA$244,3,FALSE))</f>
        <v>-</v>
      </c>
      <c r="B35" s="506"/>
      <c r="C35" s="507" t="str">
        <f>IF(ISERROR(VLOOKUP($A$4&amp;ROW()-26,a!$AX$2:$BA$244,4,FALSE)),"-",VLOOKUP($A$4&amp;ROW()-26,a!$AX$2:$BA$244,4,FALSE))</f>
        <v>-</v>
      </c>
      <c r="D35" s="138">
        <v>305</v>
      </c>
      <c r="E35" s="138"/>
    </row>
    <row r="36" spans="1:5" hidden="1">
      <c r="A36" s="245" t="s">
        <v>1315</v>
      </c>
      <c r="B36" s="246">
        <f>SUM(B30:B35)</f>
        <v>0</v>
      </c>
      <c r="C36" s="247">
        <f>SUM(C30:C35)</f>
        <v>0</v>
      </c>
      <c r="D36" s="138" t="s">
        <v>1168</v>
      </c>
      <c r="E36" s="138"/>
    </row>
    <row r="37" spans="1:5" hidden="1">
      <c r="A37" s="503"/>
      <c r="B37" s="504"/>
      <c r="C37" s="505"/>
      <c r="D37" s="138" t="s">
        <v>1189</v>
      </c>
      <c r="E37" s="138"/>
    </row>
    <row r="38" spans="1:5" hidden="1">
      <c r="A38" s="239" t="s">
        <v>1314</v>
      </c>
      <c r="B38" s="248"/>
      <c r="C38" s="249"/>
      <c r="D38" s="138" t="s">
        <v>1511</v>
      </c>
      <c r="E38" s="138"/>
    </row>
    <row r="39" spans="1:5" ht="15.05" hidden="1">
      <c r="A39" s="2" t="str">
        <f t="shared" ref="A39:A44" si="0">A20</f>
        <v>NHS Leicester City CCG</v>
      </c>
      <c r="B39" s="506"/>
      <c r="C39" s="507">
        <f t="shared" ref="C39:C44" si="1">IF(ISERROR(C20-IF(ISERROR(VLOOKUP(A39,$A$30:$C$35,3,FALSE)),0,VLOOKUP(A39,$A$30:$C$35,3,FALSE))),"-",C20-IF(ISERROR(VLOOKUP(A39,$A$30:$C$35,3,FALSE)),0,VLOOKUP(A39,$A$30:$C$35,3,FALSE)))</f>
        <v>21384</v>
      </c>
      <c r="D39" s="138">
        <v>400</v>
      </c>
      <c r="E39" s="138"/>
    </row>
    <row r="40" spans="1:5" ht="15.05" hidden="1">
      <c r="A40" s="2" t="str">
        <f t="shared" si="0"/>
        <v>-</v>
      </c>
      <c r="B40" s="506"/>
      <c r="C40" s="507" t="str">
        <f t="shared" si="1"/>
        <v>-</v>
      </c>
      <c r="D40" s="138">
        <v>401</v>
      </c>
      <c r="E40" s="138"/>
    </row>
    <row r="41" spans="1:5" ht="15.05" hidden="1">
      <c r="A41" s="2" t="str">
        <f t="shared" si="0"/>
        <v>-</v>
      </c>
      <c r="B41" s="506"/>
      <c r="C41" s="507" t="str">
        <f t="shared" si="1"/>
        <v>-</v>
      </c>
      <c r="D41" s="138">
        <v>402</v>
      </c>
      <c r="E41" s="138"/>
    </row>
    <row r="42" spans="1:5" ht="15.05" hidden="1">
      <c r="A42" s="2" t="str">
        <f t="shared" si="0"/>
        <v>-</v>
      </c>
      <c r="B42" s="506"/>
      <c r="C42" s="507" t="str">
        <f t="shared" si="1"/>
        <v>-</v>
      </c>
      <c r="D42" s="138">
        <v>403</v>
      </c>
      <c r="E42" s="138"/>
    </row>
    <row r="43" spans="1:5" ht="15.05" hidden="1">
      <c r="A43" s="2" t="str">
        <f t="shared" si="0"/>
        <v>-</v>
      </c>
      <c r="B43" s="506"/>
      <c r="C43" s="507" t="str">
        <f t="shared" si="1"/>
        <v>-</v>
      </c>
      <c r="D43" s="138">
        <v>404</v>
      </c>
      <c r="E43" s="138"/>
    </row>
    <row r="44" spans="1:5" ht="15.05" hidden="1">
      <c r="A44" s="2" t="str">
        <f t="shared" si="0"/>
        <v>-</v>
      </c>
      <c r="B44" s="506"/>
      <c r="C44" s="507" t="str">
        <f t="shared" si="1"/>
        <v>-</v>
      </c>
      <c r="D44" s="138">
        <v>405</v>
      </c>
      <c r="E44" s="138"/>
    </row>
    <row r="45" spans="1:5" hidden="1">
      <c r="A45" s="245" t="s">
        <v>1316</v>
      </c>
      <c r="B45" s="246">
        <f>SUM(B39:B44)</f>
        <v>0</v>
      </c>
      <c r="C45" s="247">
        <f>SUM(C39:C44)</f>
        <v>21384</v>
      </c>
      <c r="D45" s="138" t="s">
        <v>1170</v>
      </c>
      <c r="E45" s="138"/>
    </row>
    <row r="46" spans="1:5">
      <c r="A46" s="503"/>
      <c r="B46" s="504"/>
      <c r="C46" s="505"/>
      <c r="D46" s="138" t="s">
        <v>1190</v>
      </c>
      <c r="E46" s="138"/>
    </row>
    <row r="47" spans="1:5">
      <c r="A47" s="239" t="s">
        <v>1298</v>
      </c>
      <c r="B47" s="504"/>
      <c r="C47" s="505"/>
      <c r="D47" s="138" t="s">
        <v>1514</v>
      </c>
      <c r="E47" s="138"/>
    </row>
    <row r="48" spans="1:5">
      <c r="A48" s="242" t="s">
        <v>352</v>
      </c>
      <c r="B48" s="730">
        <v>2600</v>
      </c>
      <c r="C48" s="731"/>
      <c r="D48" s="138">
        <v>500</v>
      </c>
      <c r="E48" s="138"/>
    </row>
    <row r="49" spans="1:5">
      <c r="A49" s="242" t="s">
        <v>0</v>
      </c>
      <c r="B49" s="730"/>
      <c r="C49" s="731"/>
      <c r="D49" s="138">
        <v>501</v>
      </c>
      <c r="E49" s="138"/>
    </row>
    <row r="50" spans="1:5">
      <c r="A50" s="242" t="s">
        <v>0</v>
      </c>
      <c r="B50" s="730"/>
      <c r="C50" s="731"/>
      <c r="D50" s="138">
        <v>502</v>
      </c>
      <c r="E50" s="138"/>
    </row>
    <row r="51" spans="1:5">
      <c r="A51" s="242" t="s">
        <v>0</v>
      </c>
      <c r="B51" s="730"/>
      <c r="C51" s="731"/>
      <c r="D51" s="138">
        <v>503</v>
      </c>
      <c r="E51" s="138"/>
    </row>
    <row r="52" spans="1:5">
      <c r="A52" s="242" t="s">
        <v>0</v>
      </c>
      <c r="B52" s="730"/>
      <c r="C52" s="731"/>
      <c r="D52" s="138">
        <v>504</v>
      </c>
      <c r="E52" s="138"/>
    </row>
    <row r="53" spans="1:5">
      <c r="A53" s="242" t="s">
        <v>0</v>
      </c>
      <c r="B53" s="730"/>
      <c r="C53" s="731"/>
      <c r="D53" s="138">
        <v>505</v>
      </c>
      <c r="E53" s="138"/>
    </row>
    <row r="54" spans="1:5">
      <c r="A54" s="242" t="s">
        <v>0</v>
      </c>
      <c r="B54" s="243"/>
      <c r="C54" s="244"/>
      <c r="D54" s="138">
        <v>506</v>
      </c>
      <c r="E54" s="138"/>
    </row>
    <row r="55" spans="1:5">
      <c r="A55" s="245" t="s">
        <v>1299</v>
      </c>
      <c r="B55" s="246">
        <f>SUM(B48:B54)</f>
        <v>2600</v>
      </c>
      <c r="C55" s="247">
        <f>SUM(C48:C54)</f>
        <v>0</v>
      </c>
      <c r="D55" s="138" t="s">
        <v>1515</v>
      </c>
      <c r="E55" s="138"/>
    </row>
    <row r="56" spans="1:5">
      <c r="A56" s="503"/>
      <c r="B56" s="504"/>
      <c r="C56" s="505"/>
      <c r="D56" s="138" t="s">
        <v>1191</v>
      </c>
      <c r="E56" s="138"/>
    </row>
    <row r="57" spans="1:5" ht="15.05" thickBot="1">
      <c r="A57" s="250" t="s">
        <v>647</v>
      </c>
      <c r="B57" s="251">
        <f>B17+B27+B55</f>
        <v>14936</v>
      </c>
      <c r="C57" s="252">
        <f>C17+C27+C55</f>
        <v>23261</v>
      </c>
      <c r="D57" s="138" t="s">
        <v>1170</v>
      </c>
      <c r="E57" s="138"/>
    </row>
    <row r="58" spans="1:5" ht="15.05" thickTop="1">
      <c r="A58" s="138"/>
      <c r="B58" s="138"/>
      <c r="C58" s="138"/>
      <c r="D58" s="138"/>
      <c r="E58" s="138"/>
    </row>
  </sheetData>
  <sheetProtection password="DABD" sheet="1" objects="1" scenarios="1" formatColumns="0" formatRows="0" autoFilter="0"/>
  <mergeCells count="1">
    <mergeCell ref="B7:C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a!$AA$2:$AA$154</xm:f>
          </x14:formula1>
          <xm:sqref>A10:A16</xm:sqref>
        </x14:dataValidation>
        <x14:dataValidation type="list" allowBlank="1" showInputMessage="1" showErrorMessage="1">
          <x14:formula1>
            <xm:f>a!$U$1:$U$212</xm:f>
          </x14:formula1>
          <xm:sqref>A48:A54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7"/>
  <sheetViews>
    <sheetView showGridLines="0" zoomScaleNormal="100" workbookViewId="0">
      <pane ySplit="5" topLeftCell="A27" activePane="bottomLeft" state="frozen"/>
      <selection activeCell="T10" sqref="T10"/>
      <selection pane="bottomLeft" activeCell="E44" sqref="E44"/>
    </sheetView>
  </sheetViews>
  <sheetFormatPr defaultColWidth="9.109375" defaultRowHeight="14.4"/>
  <cols>
    <col min="1" max="1" width="3.44140625" style="4" customWidth="1"/>
    <col min="2" max="2" width="49.88671875" style="4" bestFit="1" customWidth="1"/>
    <col min="3" max="6" width="12.33203125" style="4" customWidth="1"/>
    <col min="7" max="8" width="11.88671875" style="4" customWidth="1"/>
    <col min="9" max="9" width="4.44140625" style="4" customWidth="1"/>
    <col min="10" max="10" width="12" style="4" bestFit="1" customWidth="1"/>
    <col min="11" max="11" width="11.109375" style="4" customWidth="1"/>
    <col min="12" max="12" width="10.6640625" style="4" customWidth="1"/>
    <col min="13" max="13" width="12" style="4" bestFit="1" customWidth="1"/>
    <col min="14" max="14" width="9.6640625" style="4" customWidth="1"/>
    <col min="15" max="15" width="11.5546875" style="4" customWidth="1"/>
    <col min="16" max="16" width="9.109375" style="4" customWidth="1"/>
    <col min="17" max="16384" width="9.109375" style="4"/>
  </cols>
  <sheetData>
    <row r="1" spans="1:13" ht="17.7">
      <c r="A1" s="138"/>
      <c r="B1" s="142" t="s">
        <v>1146</v>
      </c>
      <c r="C1" s="138"/>
      <c r="D1" s="138"/>
      <c r="E1" s="138"/>
      <c r="F1" s="138"/>
      <c r="G1" s="138"/>
      <c r="H1" s="138"/>
    </row>
    <row r="2" spans="1:13" ht="2.95" customHeight="1">
      <c r="A2" s="138"/>
      <c r="B2" s="138"/>
      <c r="C2" s="138"/>
      <c r="D2" s="138"/>
      <c r="E2" s="138"/>
      <c r="F2" s="138"/>
      <c r="G2" s="138"/>
      <c r="H2" s="138"/>
    </row>
    <row r="3" spans="1:13" ht="6.05" customHeight="1" thickBot="1">
      <c r="A3" s="145"/>
      <c r="B3" s="233"/>
      <c r="C3" s="145"/>
      <c r="D3" s="138"/>
      <c r="E3" s="138"/>
      <c r="F3" s="138"/>
      <c r="G3" s="138"/>
      <c r="H3" s="138"/>
    </row>
    <row r="4" spans="1:13" ht="30.8" customHeight="1" thickBot="1">
      <c r="A4" s="145"/>
      <c r="B4" s="253" t="str">
        <f>'1. HWB Funding Sources'!A4</f>
        <v>Leicester</v>
      </c>
      <c r="C4" s="145"/>
      <c r="D4" s="138"/>
      <c r="E4" s="138"/>
      <c r="F4" s="138"/>
      <c r="G4" s="138"/>
      <c r="H4" s="138"/>
    </row>
    <row r="5" spans="1:13">
      <c r="A5" s="138"/>
      <c r="B5" s="138"/>
      <c r="C5" s="138"/>
      <c r="D5" s="138"/>
      <c r="E5" s="138"/>
      <c r="F5" s="138"/>
      <c r="G5" s="138"/>
      <c r="H5" s="138"/>
    </row>
    <row r="6" spans="1:13">
      <c r="A6" s="138"/>
      <c r="B6" s="630" t="s">
        <v>961</v>
      </c>
      <c r="C6" s="138"/>
      <c r="D6" s="138"/>
      <c r="E6" s="138"/>
      <c r="F6" s="138"/>
      <c r="G6" s="138"/>
      <c r="H6" s="138"/>
    </row>
    <row r="7" spans="1:13">
      <c r="A7" s="138"/>
      <c r="B7" s="138"/>
      <c r="C7" s="138"/>
      <c r="D7" s="138"/>
      <c r="E7" s="138"/>
      <c r="F7" s="138"/>
      <c r="G7" s="138"/>
      <c r="H7" s="138"/>
    </row>
    <row r="8" spans="1:13" ht="17.7">
      <c r="A8" s="138"/>
      <c r="B8" s="142" t="s">
        <v>1522</v>
      </c>
      <c r="C8" s="138"/>
      <c r="D8" s="138"/>
      <c r="E8" s="138"/>
      <c r="F8" s="138"/>
      <c r="G8" s="138"/>
      <c r="H8" s="138"/>
    </row>
    <row r="9" spans="1:13" ht="15.05" thickBot="1">
      <c r="A9" s="138"/>
      <c r="B9" s="254" t="s">
        <v>970</v>
      </c>
      <c r="C9" s="138"/>
      <c r="D9" s="138"/>
      <c r="E9" s="138"/>
      <c r="F9" s="138"/>
      <c r="G9" s="138"/>
      <c r="H9" s="138"/>
    </row>
    <row r="10" spans="1:13" ht="42.75" customHeight="1">
      <c r="A10" s="138"/>
      <c r="B10" s="260"/>
      <c r="C10" s="791" t="s">
        <v>1519</v>
      </c>
      <c r="D10" s="792"/>
      <c r="E10" s="807" t="s">
        <v>1535</v>
      </c>
      <c r="F10" s="792"/>
      <c r="G10" s="795" t="s">
        <v>1530</v>
      </c>
      <c r="H10" s="796"/>
      <c r="I10" s="796"/>
      <c r="J10" s="796"/>
      <c r="K10" s="796"/>
      <c r="L10" s="797"/>
    </row>
    <row r="11" spans="1:13" ht="15.05" customHeight="1">
      <c r="A11" s="138"/>
      <c r="B11" s="261" t="s">
        <v>1163</v>
      </c>
      <c r="C11" s="262" t="s">
        <v>1521</v>
      </c>
      <c r="D11" s="264" t="s">
        <v>1520</v>
      </c>
      <c r="E11" s="262" t="s">
        <v>1534</v>
      </c>
      <c r="F11" s="264" t="s">
        <v>1520</v>
      </c>
      <c r="G11" s="788"/>
      <c r="H11" s="789"/>
      <c r="I11" s="789"/>
      <c r="J11" s="789"/>
      <c r="K11" s="789"/>
      <c r="L11" s="790"/>
      <c r="M11" s="641" t="s">
        <v>1162</v>
      </c>
    </row>
    <row r="12" spans="1:13">
      <c r="A12" s="138"/>
      <c r="B12" s="265"/>
      <c r="C12" s="266"/>
      <c r="D12" s="268"/>
      <c r="E12" s="266"/>
      <c r="F12" s="268"/>
      <c r="G12" s="798"/>
      <c r="H12" s="799"/>
      <c r="I12" s="799"/>
      <c r="J12" s="799"/>
      <c r="K12" s="799"/>
      <c r="L12" s="800"/>
      <c r="M12" s="641" t="s">
        <v>1169</v>
      </c>
    </row>
    <row r="13" spans="1:13">
      <c r="A13" s="138"/>
      <c r="B13" s="256" t="s">
        <v>6</v>
      </c>
      <c r="C13" s="269">
        <f>SUMIF('3. HWB Expenditure Plan'!$B$9:$B$108,B13,'3. HWB Expenditure Plan'!$K$9:$K$108)</f>
        <v>0</v>
      </c>
      <c r="D13" s="257">
        <f>SUMIF('3. HWB Expenditure Plan'!$B$9:$B$108,B13,'3. HWB Expenditure Plan'!$L$9:$L$108)</f>
        <v>0</v>
      </c>
      <c r="E13" s="269"/>
      <c r="F13" s="257"/>
      <c r="G13" s="782"/>
      <c r="H13" s="783"/>
      <c r="I13" s="783"/>
      <c r="J13" s="783"/>
      <c r="K13" s="783"/>
      <c r="L13" s="784"/>
      <c r="M13" s="641">
        <v>100</v>
      </c>
    </row>
    <row r="14" spans="1:13">
      <c r="A14" s="138"/>
      <c r="B14" s="258" t="s">
        <v>13</v>
      </c>
      <c r="C14" s="269">
        <f>SUMIF('3. HWB Expenditure Plan'!$B$9:$B$108,B14,'3. HWB Expenditure Plan'!$K$9:$K$108)</f>
        <v>0</v>
      </c>
      <c r="D14" s="257">
        <f>SUMIF('3. HWB Expenditure Plan'!$B$9:$B$108,B14,'3. HWB Expenditure Plan'!$L$9:$L$108)</f>
        <v>0</v>
      </c>
      <c r="E14" s="269"/>
      <c r="F14" s="257"/>
      <c r="G14" s="782"/>
      <c r="H14" s="783"/>
      <c r="I14" s="783"/>
      <c r="J14" s="783"/>
      <c r="K14" s="783"/>
      <c r="L14" s="784"/>
      <c r="M14" s="641">
        <v>101</v>
      </c>
    </row>
    <row r="15" spans="1:13">
      <c r="A15" s="138"/>
      <c r="B15" s="258" t="s">
        <v>19</v>
      </c>
      <c r="C15" s="269">
        <f>SUMIF('3. HWB Expenditure Plan'!$B$9:$B$108,B15,'3. HWB Expenditure Plan'!$K$9:$K$108)</f>
        <v>3463</v>
      </c>
      <c r="D15" s="257">
        <f>SUMIF('3. HWB Expenditure Plan'!$B$9:$B$108,B15,'3. HWB Expenditure Plan'!$L$9:$L$108)</f>
        <v>4261</v>
      </c>
      <c r="E15" s="269"/>
      <c r="F15" s="257"/>
      <c r="G15" s="782"/>
      <c r="H15" s="783"/>
      <c r="I15" s="783"/>
      <c r="J15" s="783"/>
      <c r="K15" s="783"/>
      <c r="L15" s="784"/>
      <c r="M15" s="641">
        <v>102</v>
      </c>
    </row>
    <row r="16" spans="1:13">
      <c r="A16" s="138"/>
      <c r="B16" s="258" t="s">
        <v>26</v>
      </c>
      <c r="C16" s="269">
        <f>SUMIF('3. HWB Expenditure Plan'!$B$9:$B$108,B16,'3. HWB Expenditure Plan'!$K$9:$K$108)</f>
        <v>0</v>
      </c>
      <c r="D16" s="257">
        <f>SUMIF('3. HWB Expenditure Plan'!$B$9:$B$108,B16,'3. HWB Expenditure Plan'!$L$9:$L$108)</f>
        <v>0</v>
      </c>
      <c r="E16" s="269"/>
      <c r="F16" s="257"/>
      <c r="G16" s="782"/>
      <c r="H16" s="783"/>
      <c r="I16" s="783"/>
      <c r="J16" s="783"/>
      <c r="K16" s="783"/>
      <c r="L16" s="784"/>
      <c r="M16" s="641">
        <v>103</v>
      </c>
    </row>
    <row r="17" spans="1:13">
      <c r="A17" s="138"/>
      <c r="B17" s="258" t="s">
        <v>32</v>
      </c>
      <c r="C17" s="269">
        <f>SUMIF('3. HWB Expenditure Plan'!$B$9:$B$108,B17,'3. HWB Expenditure Plan'!$K$9:$K$108)</f>
        <v>1419</v>
      </c>
      <c r="D17" s="257">
        <f>SUMIF('3. HWB Expenditure Plan'!$B$9:$B$108,B17,'3. HWB Expenditure Plan'!$L$9:$L$108)</f>
        <v>2419</v>
      </c>
      <c r="E17" s="269"/>
      <c r="F17" s="257"/>
      <c r="G17" s="782"/>
      <c r="H17" s="783"/>
      <c r="I17" s="783"/>
      <c r="J17" s="783"/>
      <c r="K17" s="783"/>
      <c r="L17" s="784"/>
      <c r="M17" s="641">
        <v>104</v>
      </c>
    </row>
    <row r="18" spans="1:13">
      <c r="A18" s="138"/>
      <c r="B18" s="258" t="s">
        <v>645</v>
      </c>
      <c r="C18" s="269">
        <f>SUMIF('3. HWB Expenditure Plan'!$B$9:$B$108,B18,'3. HWB Expenditure Plan'!$K$9:$K$108)</f>
        <v>10156</v>
      </c>
      <c r="D18" s="257">
        <f>SUMIF('3. HWB Expenditure Plan'!$B$9:$B$108,B18,'3. HWB Expenditure Plan'!$L$9:$L$108)</f>
        <v>15008</v>
      </c>
      <c r="E18" s="659">
        <f>'3. HWB Expenditure Plan'!K10+'3. HWB Expenditure Plan'!K11+'3. HWB Expenditure Plan'!K24+'3. HWB Expenditure Plan'!K25</f>
        <v>10000</v>
      </c>
      <c r="F18" s="658">
        <f>'3. HWB Expenditure Plan'!L27+'3. HWB Expenditure Plan'!L28+'3. HWB Expenditure Plan'!L40+'3. HWB Expenditure Plan'!L41+'3. HWB Expenditure Plan'!L44+'3. HWB Expenditure Plan'!L45</f>
        <v>14904</v>
      </c>
      <c r="G18" s="785" t="s">
        <v>1914</v>
      </c>
      <c r="H18" s="786"/>
      <c r="I18" s="786"/>
      <c r="J18" s="786"/>
      <c r="K18" s="786"/>
      <c r="L18" s="787"/>
      <c r="M18" s="641">
        <v>105</v>
      </c>
    </row>
    <row r="19" spans="1:13" ht="15.05" thickBot="1">
      <c r="A19" s="138"/>
      <c r="B19" s="259" t="s">
        <v>28</v>
      </c>
      <c r="C19" s="269">
        <f>SUMIF('3. HWB Expenditure Plan'!$B$9:$B$108,B19,'3. HWB Expenditure Plan'!$K$9:$K$108)</f>
        <v>-102</v>
      </c>
      <c r="D19" s="257">
        <f>SUMIF('3. HWB Expenditure Plan'!$B$9:$B$108,B19,'3. HWB Expenditure Plan'!$L$9:$L$108)</f>
        <v>1573</v>
      </c>
      <c r="E19" s="269"/>
      <c r="F19" s="257"/>
      <c r="G19" s="801"/>
      <c r="H19" s="802"/>
      <c r="I19" s="802"/>
      <c r="J19" s="802"/>
      <c r="K19" s="802"/>
      <c r="L19" s="803"/>
      <c r="M19" s="641">
        <v>106</v>
      </c>
    </row>
    <row r="20" spans="1:13" ht="15.05" thickBot="1">
      <c r="A20" s="138"/>
      <c r="B20" s="270" t="s">
        <v>644</v>
      </c>
      <c r="C20" s="271">
        <f t="shared" ref="C20" si="0">SUM(C13:C19)</f>
        <v>14936</v>
      </c>
      <c r="D20" s="273">
        <f>SUM(D13:D19)</f>
        <v>23261</v>
      </c>
      <c r="E20" s="271"/>
      <c r="F20" s="273">
        <f>SUM(F13:F19)</f>
        <v>14904</v>
      </c>
      <c r="G20" s="804"/>
      <c r="H20" s="805"/>
      <c r="I20" s="805"/>
      <c r="J20" s="805"/>
      <c r="K20" s="805"/>
      <c r="L20" s="806"/>
      <c r="M20" s="641" t="s">
        <v>1166</v>
      </c>
    </row>
    <row r="21" spans="1:13" ht="6.05" customHeight="1">
      <c r="A21" s="138"/>
      <c r="B21" s="138"/>
      <c r="C21" s="138"/>
      <c r="D21" s="138"/>
      <c r="E21" s="138"/>
      <c r="F21" s="138"/>
      <c r="G21" s="138"/>
      <c r="H21" s="138"/>
    </row>
    <row r="22" spans="1:13" ht="17.7">
      <c r="A22" s="138"/>
      <c r="B22" s="142" t="s">
        <v>1529</v>
      </c>
      <c r="C22" s="138"/>
      <c r="D22" s="138"/>
      <c r="E22" s="138"/>
      <c r="F22" s="138"/>
      <c r="G22" s="138"/>
      <c r="H22" s="138"/>
    </row>
    <row r="23" spans="1:13" ht="15.05" thickBot="1">
      <c r="A23" s="138"/>
      <c r="B23" s="254" t="s">
        <v>970</v>
      </c>
      <c r="C23" s="138"/>
      <c r="D23" s="138"/>
      <c r="E23" s="138"/>
      <c r="F23" s="138"/>
      <c r="G23" s="138"/>
      <c r="H23" s="138"/>
    </row>
    <row r="24" spans="1:13">
      <c r="A24" s="138"/>
      <c r="B24" s="260"/>
      <c r="C24" s="791" t="s">
        <v>1519</v>
      </c>
      <c r="D24" s="792"/>
      <c r="F24" s="138"/>
      <c r="G24" s="138"/>
      <c r="H24" s="138"/>
    </row>
    <row r="25" spans="1:13">
      <c r="A25" s="138"/>
      <c r="B25" s="261" t="s">
        <v>1163</v>
      </c>
      <c r="C25" s="262"/>
      <c r="D25" s="264" t="s">
        <v>1520</v>
      </c>
      <c r="E25" s="641" t="s">
        <v>1162</v>
      </c>
      <c r="F25" s="138"/>
      <c r="G25" s="138"/>
      <c r="H25" s="138"/>
    </row>
    <row r="26" spans="1:13">
      <c r="A26" s="138"/>
      <c r="B26" s="265"/>
      <c r="C26" s="266"/>
      <c r="D26" s="268"/>
      <c r="E26" s="641" t="s">
        <v>1169</v>
      </c>
      <c r="F26" s="138"/>
      <c r="G26" s="138"/>
      <c r="H26" s="138"/>
    </row>
    <row r="27" spans="1:13" ht="14.25" customHeight="1">
      <c r="A27" s="138"/>
      <c r="B27" s="256"/>
      <c r="C27" s="269"/>
      <c r="D27" s="257"/>
      <c r="E27" s="641" t="s">
        <v>1169</v>
      </c>
      <c r="F27" s="138"/>
      <c r="G27" s="138"/>
      <c r="H27" s="138"/>
    </row>
    <row r="28" spans="1:13">
      <c r="A28" s="138"/>
      <c r="B28" s="258" t="s">
        <v>13</v>
      </c>
      <c r="C28" s="269"/>
      <c r="D28" s="257">
        <f>SUMIFS('3. HWB Expenditure Plan'!$N$9:$N$108,'3. HWB Expenditure Plan'!$B$9:$B$108,B28,'3. HWB Expenditure Plan'!$F$9:$F$108,"Joint")+
SUMIFS('3. HWB Expenditure Plan'!$N$9:$N$108,'3. HWB Expenditure Plan'!$B$9:$B$108,B28,'3. HWB Expenditure Plan'!$F$9:$F$108,"NHS England")+
SUMIFS('3. HWB Expenditure Plan'!$N$9:$N$108,'3. HWB Expenditure Plan'!$B$9:$B$108,B28,'3. HWB Expenditure Plan'!$F$9:$F$108,"CCG")</f>
        <v>0</v>
      </c>
      <c r="E28" s="641">
        <v>100</v>
      </c>
      <c r="F28" s="138"/>
      <c r="G28" s="138"/>
      <c r="H28" s="138"/>
    </row>
    <row r="29" spans="1:13">
      <c r="A29" s="138"/>
      <c r="B29" s="258" t="s">
        <v>19</v>
      </c>
      <c r="C29" s="269"/>
      <c r="D29" s="257">
        <f>SUMIFS('3. HWB Expenditure Plan'!$N$9:$N$108,'3. HWB Expenditure Plan'!$B$9:$B$108,B29,'3. HWB Expenditure Plan'!$F$9:$F$108,"Joint")+
SUMIFS('3. HWB Expenditure Plan'!$N$9:$N$108,'3. HWB Expenditure Plan'!$B$9:$B$108,B29,'3. HWB Expenditure Plan'!$F$9:$F$108,"NHS England")+
SUMIFS('3. HWB Expenditure Plan'!$N$9:$N$108,'3. HWB Expenditure Plan'!$B$9:$B$108,B29,'3. HWB Expenditure Plan'!$F$9:$F$108,"CCG")</f>
        <v>3265</v>
      </c>
      <c r="E29" s="641">
        <v>101</v>
      </c>
      <c r="F29" s="138"/>
      <c r="G29" s="138"/>
      <c r="H29" s="138"/>
    </row>
    <row r="30" spans="1:13">
      <c r="A30" s="138"/>
      <c r="B30" s="258" t="s">
        <v>26</v>
      </c>
      <c r="C30" s="269"/>
      <c r="D30" s="257">
        <f>SUMIFS('3. HWB Expenditure Plan'!$N$9:$N$108,'3. HWB Expenditure Plan'!$B$9:$B$108,B30,'3. HWB Expenditure Plan'!$F$9:$F$108,"Joint")+
SUMIFS('3. HWB Expenditure Plan'!$N$9:$N$108,'3. HWB Expenditure Plan'!$B$9:$B$108,B30,'3. HWB Expenditure Plan'!$F$9:$F$108,"NHS England")+
SUMIFS('3. HWB Expenditure Plan'!$N$9:$N$108,'3. HWB Expenditure Plan'!$B$9:$B$108,B30,'3. HWB Expenditure Plan'!$F$9:$F$108,"CCG")</f>
        <v>0</v>
      </c>
      <c r="E30" s="641">
        <v>102</v>
      </c>
      <c r="F30" s="138"/>
      <c r="G30" s="138"/>
      <c r="H30" s="138"/>
    </row>
    <row r="31" spans="1:13">
      <c r="A31" s="138"/>
      <c r="B31" s="258" t="s">
        <v>32</v>
      </c>
      <c r="C31" s="269"/>
      <c r="D31" s="257">
        <f>SUMIFS('3. HWB Expenditure Plan'!$N$9:$N$108,'3. HWB Expenditure Plan'!$B$9:$B$108,B31,'3. HWB Expenditure Plan'!$F$9:$F$108,"Joint")+
SUMIFS('3. HWB Expenditure Plan'!$N$9:$N$108,'3. HWB Expenditure Plan'!$B$9:$B$108,B31,'3. HWB Expenditure Plan'!$F$9:$F$108,"NHS England")+
SUMIFS('3. HWB Expenditure Plan'!$N$9:$N$108,'3. HWB Expenditure Plan'!$B$9:$B$108,B31,'3. HWB Expenditure Plan'!$F$9:$F$108,"CCG")</f>
        <v>2419</v>
      </c>
      <c r="E31" s="641">
        <v>103</v>
      </c>
      <c r="F31" s="138"/>
      <c r="G31" s="138"/>
      <c r="H31" s="138"/>
    </row>
    <row r="32" spans="1:13">
      <c r="A32" s="138"/>
      <c r="B32" s="258" t="s">
        <v>645</v>
      </c>
      <c r="C32" s="269"/>
      <c r="D32" s="257">
        <f>SUMIFS('3. HWB Expenditure Plan'!$N$9:$N$108,'3. HWB Expenditure Plan'!$B$9:$B$108,B32,'3. HWB Expenditure Plan'!$F$9:$F$108,"Joint")+
SUMIFS('3. HWB Expenditure Plan'!$N$9:$N$108,'3. HWB Expenditure Plan'!$B$9:$B$108,B32,'3. HWB Expenditure Plan'!$F$9:$F$108,"NHS England")+
SUMIFS('3. HWB Expenditure Plan'!$N$9:$N$108,'3. HWB Expenditure Plan'!$B$9:$B$108,B32,'3. HWB Expenditure Plan'!$F$9:$F$108,"CCG")</f>
        <v>0</v>
      </c>
      <c r="E32" s="641">
        <v>104</v>
      </c>
      <c r="F32" s="138"/>
      <c r="G32" s="138"/>
      <c r="H32" s="138"/>
    </row>
    <row r="33" spans="1:14" ht="15.05" thickBot="1">
      <c r="A33" s="138"/>
      <c r="B33" s="259" t="s">
        <v>28</v>
      </c>
      <c r="C33" s="269"/>
      <c r="D33" s="257">
        <f>SUMIFS('3. HWB Expenditure Plan'!$N$9:$N$108,'3. HWB Expenditure Plan'!$B$9:$B$108,B33,'3. HWB Expenditure Plan'!$F$9:$F$108,"Joint")+
SUMIFS('3. HWB Expenditure Plan'!$N$9:$N$108,'3. HWB Expenditure Plan'!$B$9:$B$108,B33,'3. HWB Expenditure Plan'!$F$9:$F$108,"NHS England")+
SUMIFS('3. HWB Expenditure Plan'!$N$9:$N$108,'3. HWB Expenditure Plan'!$B$9:$B$108,B33,'3. HWB Expenditure Plan'!$F$9:$F$108,"CCG")</f>
        <v>1573</v>
      </c>
      <c r="E33" s="641">
        <v>105</v>
      </c>
      <c r="F33" s="138"/>
      <c r="G33" s="138"/>
      <c r="H33" s="138"/>
    </row>
    <row r="34" spans="1:14" ht="15.05" thickBot="1">
      <c r="A34" s="138"/>
      <c r="B34" s="270" t="s">
        <v>644</v>
      </c>
      <c r="C34" s="271"/>
      <c r="D34" s="273">
        <f>SUM(D27:D33)</f>
        <v>7257</v>
      </c>
      <c r="E34" s="641" t="s">
        <v>1166</v>
      </c>
      <c r="F34" s="138"/>
      <c r="G34" s="138"/>
      <c r="H34" s="138"/>
    </row>
    <row r="35" spans="1:14" ht="6.75" customHeight="1">
      <c r="A35" s="138"/>
      <c r="B35" s="138"/>
      <c r="C35" s="138"/>
      <c r="D35" s="138"/>
      <c r="E35" s="641" t="s">
        <v>1166</v>
      </c>
      <c r="F35" s="138"/>
      <c r="G35" s="138"/>
      <c r="H35" s="138"/>
    </row>
    <row r="36" spans="1:14" ht="17.7">
      <c r="A36" s="138"/>
      <c r="B36" s="142" t="s">
        <v>987</v>
      </c>
      <c r="C36" s="138"/>
      <c r="D36" s="138"/>
      <c r="E36" s="138"/>
      <c r="F36" s="138"/>
      <c r="G36" s="138"/>
      <c r="H36" s="138"/>
    </row>
    <row r="37" spans="1:14" ht="15.05" thickBot="1">
      <c r="A37" s="138"/>
      <c r="B37" s="254" t="s">
        <v>970</v>
      </c>
      <c r="C37" s="138"/>
      <c r="D37" s="138"/>
      <c r="E37" s="138"/>
      <c r="F37" s="138"/>
      <c r="G37" s="138"/>
      <c r="H37" s="138"/>
    </row>
    <row r="38" spans="1:14" ht="43.55" customHeight="1">
      <c r="A38" s="138"/>
      <c r="B38" s="260"/>
      <c r="C38" s="793" t="s">
        <v>988</v>
      </c>
      <c r="D38" s="794"/>
      <c r="E38" s="656" t="s">
        <v>1531</v>
      </c>
      <c r="F38" s="138"/>
      <c r="G38" s="138"/>
    </row>
    <row r="39" spans="1:14" ht="15.75" customHeight="1">
      <c r="A39" s="138"/>
      <c r="B39" s="261" t="s">
        <v>1163</v>
      </c>
      <c r="C39" s="262" t="s">
        <v>1309</v>
      </c>
      <c r="D39" s="263" t="s">
        <v>1310</v>
      </c>
      <c r="E39" s="650" t="s">
        <v>1172</v>
      </c>
      <c r="F39" s="641" t="s">
        <v>1164</v>
      </c>
      <c r="G39" s="641"/>
      <c r="H39" s="641"/>
    </row>
    <row r="40" spans="1:14" ht="15.05" hidden="1" customHeight="1">
      <c r="A40" s="138"/>
      <c r="B40" s="265"/>
      <c r="C40" s="266"/>
      <c r="D40" s="267"/>
      <c r="E40" s="651"/>
      <c r="F40" s="641" t="s">
        <v>1165</v>
      </c>
      <c r="G40" s="138"/>
    </row>
    <row r="41" spans="1:14">
      <c r="A41" s="138"/>
      <c r="B41" s="256" t="s">
        <v>974</v>
      </c>
      <c r="C41" s="269">
        <f>SUMIF('4. HWB Benefits Plan'!$A$11:$A$111,B41,'4. HWB Benefits Plan'!$H$11:$H$111)/1000</f>
        <v>-15.729999999999979</v>
      </c>
      <c r="D41" s="269">
        <f>SUMIF('4. HWB Benefits Plan'!$A$119:$A$219,B41,'4. HWB Benefits Plan'!$H$119:$H$219)/1000</f>
        <v>-31.460000000000029</v>
      </c>
      <c r="E41" s="652"/>
      <c r="F41" s="641">
        <v>100</v>
      </c>
      <c r="G41" s="138"/>
    </row>
    <row r="42" spans="1:14" ht="15.05" customHeight="1">
      <c r="A42" s="138"/>
      <c r="B42" s="258" t="s">
        <v>975</v>
      </c>
      <c r="C42" s="269">
        <f>SUMIF('4. HWB Benefits Plan'!$A$11:$A$111,B42,'4. HWB Benefits Plan'!$H$11:$H$111)/1000</f>
        <v>-19.299428200000001</v>
      </c>
      <c r="D42" s="269">
        <f>SUMIF('4. HWB Benefits Plan'!$A$119:$A$219,B42,'4. HWB Benefits Plan'!$H$119:$H$219)/1000</f>
        <v>-26.147612400000003</v>
      </c>
      <c r="E42" s="653"/>
      <c r="F42" s="641">
        <v>101</v>
      </c>
      <c r="G42" s="138"/>
    </row>
    <row r="43" spans="1:14" ht="15.05" customHeight="1">
      <c r="A43" s="138"/>
      <c r="B43" s="258" t="s">
        <v>976</v>
      </c>
      <c r="C43" s="269">
        <f>SUMIF('4. HWB Benefits Plan'!$A$11:$A$111,B43,'4. HWB Benefits Plan'!$H$11:$H$111)/1000</f>
        <v>-164.1</v>
      </c>
      <c r="D43" s="269">
        <f>SUMIF('4. HWB Benefits Plan'!$A$119:$A$219,B43,'4. HWB Benefits Plan'!$H$119:$H$219)/1000</f>
        <v>-114.3</v>
      </c>
      <c r="E43" s="653"/>
      <c r="F43" s="641">
        <v>102</v>
      </c>
      <c r="G43" s="138"/>
    </row>
    <row r="44" spans="1:14" ht="15.05" customHeight="1">
      <c r="A44" s="138"/>
      <c r="B44" s="258" t="s">
        <v>990</v>
      </c>
      <c r="C44" s="269">
        <f>SUMIF('4. HWB Benefits Plan'!$A$11:$A$111,B44,'4. HWB Benefits Plan'!$H$11:$H$111)/1000</f>
        <v>-1126.44</v>
      </c>
      <c r="D44" s="269">
        <f>SUMIF('4. HWB Benefits Plan'!$A$119:$A$219,B44,'4. HWB Benefits Plan'!$H$119:$H$219)/1000</f>
        <v>-1495.959999999998</v>
      </c>
      <c r="E44" s="654">
        <f>'5. HWB P4P metric'!H14/1000</f>
        <v>1509.37</v>
      </c>
      <c r="F44" s="641">
        <v>103</v>
      </c>
      <c r="G44" s="780" t="s">
        <v>1911</v>
      </c>
      <c r="H44" s="781"/>
      <c r="I44" s="781"/>
      <c r="J44" s="781"/>
      <c r="K44" s="781"/>
      <c r="L44" s="781"/>
      <c r="M44" s="781"/>
    </row>
    <row r="45" spans="1:14" ht="15.75" customHeight="1" thickBot="1">
      <c r="A45" s="138"/>
      <c r="B45" s="259" t="s">
        <v>28</v>
      </c>
      <c r="C45" s="269">
        <f>SUMIF('4. HWB Benefits Plan'!$A$11:$A$111,B45,'4. HWB Benefits Plan'!$H$11:$H$111)/1000</f>
        <v>0</v>
      </c>
      <c r="D45" s="269">
        <f>SUMIF('4. HWB Benefits Plan'!$A$119:$A$219,B45,'4. HWB Benefits Plan'!$H$119:$H$219)/1000</f>
        <v>0</v>
      </c>
      <c r="E45" s="654"/>
      <c r="F45" s="641">
        <v>104</v>
      </c>
      <c r="G45" s="138"/>
    </row>
    <row r="46" spans="1:14" s="121" customFormat="1" ht="15.05" thickBot="1">
      <c r="A46" s="213"/>
      <c r="B46" s="270" t="s">
        <v>644</v>
      </c>
      <c r="C46" s="271">
        <f t="shared" ref="C46:E46" si="1">SUM(C41:C45)</f>
        <v>-1325.5694281999999</v>
      </c>
      <c r="D46" s="272">
        <f>SUM(D41:D45)</f>
        <v>-1667.8676123999981</v>
      </c>
      <c r="E46" s="655">
        <f t="shared" si="1"/>
        <v>1509.37</v>
      </c>
      <c r="F46" s="649" t="s">
        <v>1166</v>
      </c>
      <c r="G46" s="138"/>
      <c r="I46" s="4"/>
      <c r="J46" s="4"/>
      <c r="K46" s="4"/>
      <c r="L46" s="4"/>
      <c r="M46" s="4"/>
      <c r="N46" s="4"/>
    </row>
    <row r="47" spans="1:14">
      <c r="F47" s="138"/>
      <c r="G47" s="138"/>
    </row>
  </sheetData>
  <sheetProtection password="DABD" sheet="1" objects="1" scenarios="1" formatColumns="0" formatRows="0" autoFilter="0"/>
  <mergeCells count="16">
    <mergeCell ref="G44:M44"/>
    <mergeCell ref="G17:L17"/>
    <mergeCell ref="G18:L18"/>
    <mergeCell ref="G11:L11"/>
    <mergeCell ref="C10:D10"/>
    <mergeCell ref="C38:D38"/>
    <mergeCell ref="C24:D24"/>
    <mergeCell ref="G10:L10"/>
    <mergeCell ref="G12:L12"/>
    <mergeCell ref="G13:L13"/>
    <mergeCell ref="G14:L14"/>
    <mergeCell ref="G15:L15"/>
    <mergeCell ref="G19:L19"/>
    <mergeCell ref="G20:L20"/>
    <mergeCell ref="G16:L16"/>
    <mergeCell ref="E10:F10"/>
  </mergeCell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09"/>
  <sheetViews>
    <sheetView showGridLines="0" zoomScaleNormal="100" workbookViewId="0">
      <pane xSplit="4" ySplit="8" topLeftCell="F21" activePane="bottomRight" state="frozen"/>
      <selection pane="topRight" activeCell="E1" sqref="E1"/>
      <selection pane="bottomLeft" activeCell="A9" sqref="A9"/>
      <selection pane="bottomRight" activeCell="L44" sqref="L44:L45"/>
    </sheetView>
  </sheetViews>
  <sheetFormatPr defaultColWidth="9.109375" defaultRowHeight="14.4"/>
  <cols>
    <col min="1" max="1" width="41.88671875" style="4" customWidth="1"/>
    <col min="2" max="2" width="29.109375" style="4" customWidth="1"/>
    <col min="3" max="3" width="25" style="4" hidden="1" customWidth="1"/>
    <col min="4" max="4" width="48" style="4" hidden="1" customWidth="1"/>
    <col min="5" max="5" width="32.5546875" style="4" customWidth="1"/>
    <col min="6" max="6" width="18.33203125" style="4" customWidth="1"/>
    <col min="7" max="8" width="15.33203125" style="4" customWidth="1"/>
    <col min="9" max="9" width="25.33203125" style="4" bestFit="1" customWidth="1"/>
    <col min="10" max="10" width="30.33203125" style="4" bestFit="1" customWidth="1"/>
    <col min="11" max="11" width="13.5546875" style="4" customWidth="1"/>
    <col min="12" max="12" width="12.6640625" style="4" customWidth="1"/>
    <col min="13" max="13" width="12.6640625" style="4" hidden="1" customWidth="1"/>
    <col min="14" max="15" width="9.109375" style="4" hidden="1" customWidth="1"/>
    <col min="16" max="16" width="9.109375" style="4"/>
    <col min="17" max="18" width="9.109375" style="4" hidden="1" customWidth="1"/>
    <col min="19" max="21" width="9.109375" style="4"/>
    <col min="22" max="23" width="9.109375" style="3"/>
    <col min="24" max="16384" width="9.109375" style="4"/>
  </cols>
  <sheetData>
    <row r="1" spans="1:23" ht="17.7">
      <c r="A1" s="142" t="s">
        <v>989</v>
      </c>
      <c r="B1" s="138"/>
      <c r="C1" s="138"/>
      <c r="D1" s="138"/>
      <c r="E1" s="138"/>
      <c r="F1" s="138"/>
      <c r="G1" s="138"/>
      <c r="H1" s="138"/>
      <c r="I1" s="138"/>
      <c r="J1" s="138"/>
      <c r="K1" s="138"/>
      <c r="L1" s="138"/>
      <c r="M1" s="138"/>
      <c r="N1" s="138"/>
      <c r="O1" s="138"/>
      <c r="P1" s="138"/>
      <c r="Q1" s="138"/>
      <c r="R1" s="138"/>
      <c r="S1" s="138"/>
      <c r="T1" s="138"/>
      <c r="U1" s="138"/>
      <c r="V1" s="145"/>
      <c r="W1" s="145"/>
    </row>
    <row r="2" spans="1:23" ht="15.05" thickBot="1">
      <c r="A2" s="138"/>
      <c r="B2" s="138"/>
      <c r="C2" s="138"/>
      <c r="D2" s="138"/>
      <c r="E2" s="138"/>
      <c r="F2" s="138"/>
      <c r="G2" s="138"/>
      <c r="H2" s="138"/>
      <c r="I2" s="138"/>
      <c r="J2" s="138"/>
      <c r="K2" s="138"/>
      <c r="L2" s="138"/>
      <c r="M2" s="138"/>
      <c r="N2" s="138"/>
      <c r="O2" s="138"/>
      <c r="P2" s="138"/>
      <c r="Q2" s="138"/>
      <c r="R2" s="138"/>
      <c r="S2" s="138"/>
      <c r="T2" s="138"/>
      <c r="U2" s="138"/>
      <c r="V2" s="145"/>
      <c r="W2" s="145"/>
    </row>
    <row r="3" spans="1:23" ht="18.350000000000001" thickBot="1">
      <c r="A3" s="133" t="str">
        <f>'1. HWB Funding Sources'!A4</f>
        <v>Leicester</v>
      </c>
      <c r="B3" s="281"/>
      <c r="C3" s="138"/>
      <c r="D3" s="138"/>
      <c r="E3" s="138"/>
      <c r="F3" s="138"/>
      <c r="G3" s="138"/>
      <c r="H3" s="138"/>
      <c r="I3" s="138"/>
      <c r="J3" s="138"/>
      <c r="K3" s="138"/>
      <c r="L3" s="138"/>
      <c r="M3" s="138"/>
      <c r="N3" s="138"/>
      <c r="O3" s="138"/>
      <c r="P3" s="138"/>
      <c r="Q3" s="138"/>
      <c r="R3" s="138"/>
      <c r="S3" s="138"/>
      <c r="T3" s="138"/>
      <c r="U3" s="138"/>
      <c r="V3" s="145"/>
      <c r="W3" s="145"/>
    </row>
    <row r="4" spans="1:23" ht="17.7">
      <c r="A4" s="282"/>
      <c r="B4" s="281"/>
      <c r="C4" s="138"/>
      <c r="D4" s="138"/>
      <c r="E4" s="138"/>
      <c r="F4" s="138"/>
      <c r="G4" s="138"/>
      <c r="H4" s="138"/>
      <c r="I4" s="138"/>
      <c r="J4" s="138"/>
      <c r="K4" s="138"/>
      <c r="L4" s="138"/>
      <c r="M4" s="138"/>
      <c r="N4" s="138"/>
      <c r="O4" s="138"/>
      <c r="P4" s="138"/>
      <c r="Q4" s="138"/>
      <c r="R4" s="138"/>
      <c r="S4" s="138"/>
      <c r="T4" s="138"/>
      <c r="U4" s="138"/>
      <c r="V4" s="145"/>
      <c r="W4" s="145"/>
    </row>
    <row r="5" spans="1:23">
      <c r="A5" s="631" t="s">
        <v>962</v>
      </c>
      <c r="B5" s="281"/>
      <c r="C5" s="138"/>
      <c r="D5" s="138"/>
      <c r="E5" s="138"/>
      <c r="F5" s="138"/>
      <c r="G5" s="138"/>
      <c r="H5" s="138"/>
      <c r="I5" s="138"/>
      <c r="J5" s="138"/>
      <c r="K5" s="138"/>
      <c r="L5" s="138"/>
      <c r="M5" s="138"/>
      <c r="N5" s="138"/>
      <c r="O5" s="138"/>
      <c r="P5" s="138"/>
      <c r="Q5" s="138"/>
      <c r="R5" s="138"/>
      <c r="S5" s="138"/>
      <c r="T5" s="138"/>
      <c r="U5" s="138"/>
      <c r="V5" s="145"/>
      <c r="W5" s="145"/>
    </row>
    <row r="6" spans="1:23">
      <c r="A6" s="138"/>
      <c r="B6" s="808" t="s">
        <v>802</v>
      </c>
      <c r="C6" s="809"/>
      <c r="D6" s="809"/>
      <c r="E6" s="809"/>
      <c r="F6" s="809"/>
      <c r="G6" s="809"/>
      <c r="H6" s="809"/>
      <c r="I6" s="809"/>
      <c r="J6" s="809"/>
      <c r="K6" s="809"/>
      <c r="L6" s="810"/>
      <c r="M6" s="645"/>
      <c r="N6" s="138"/>
      <c r="O6" s="138"/>
      <c r="P6" s="138"/>
      <c r="Q6" s="138" t="s">
        <v>6</v>
      </c>
      <c r="R6" s="138">
        <v>2</v>
      </c>
      <c r="S6" s="138"/>
      <c r="T6" s="138"/>
      <c r="U6" s="138"/>
      <c r="V6" s="145"/>
      <c r="W6" s="145"/>
    </row>
    <row r="7" spans="1:23" ht="28.8">
      <c r="A7" s="283" t="s">
        <v>637</v>
      </c>
      <c r="B7" s="284" t="s">
        <v>638</v>
      </c>
      <c r="C7" s="284" t="s">
        <v>1171</v>
      </c>
      <c r="D7" s="284" t="s">
        <v>639</v>
      </c>
      <c r="E7" s="284" t="s">
        <v>1317</v>
      </c>
      <c r="F7" s="284" t="s">
        <v>640</v>
      </c>
      <c r="G7" s="643" t="s">
        <v>1523</v>
      </c>
      <c r="H7" s="643" t="s">
        <v>1524</v>
      </c>
      <c r="I7" s="284" t="s">
        <v>641</v>
      </c>
      <c r="J7" s="508" t="s">
        <v>1300</v>
      </c>
      <c r="K7" s="285" t="s">
        <v>803</v>
      </c>
      <c r="L7" s="286" t="s">
        <v>804</v>
      </c>
      <c r="M7" s="138" t="s">
        <v>1527</v>
      </c>
      <c r="N7" s="138" t="s">
        <v>1526</v>
      </c>
      <c r="O7" s="138" t="s">
        <v>1162</v>
      </c>
      <c r="P7" s="138"/>
      <c r="Q7" s="138" t="s">
        <v>13</v>
      </c>
      <c r="R7" s="138">
        <v>3</v>
      </c>
      <c r="S7" s="138"/>
      <c r="T7" s="138"/>
      <c r="U7" s="138"/>
      <c r="V7" s="145"/>
      <c r="W7" s="145"/>
    </row>
    <row r="8" spans="1:23" hidden="1">
      <c r="A8" s="287"/>
      <c r="B8" s="288"/>
      <c r="C8" s="288"/>
      <c r="D8" s="288"/>
      <c r="E8" s="288"/>
      <c r="F8" s="288"/>
      <c r="G8" s="288"/>
      <c r="H8" s="288"/>
      <c r="I8" s="288"/>
      <c r="J8" s="509"/>
      <c r="K8" s="289"/>
      <c r="L8" s="290"/>
      <c r="M8" s="646"/>
      <c r="N8" s="138"/>
      <c r="O8" s="138" t="s">
        <v>1169</v>
      </c>
      <c r="P8" s="138"/>
      <c r="Q8" s="138"/>
      <c r="R8" s="138"/>
      <c r="S8" s="138"/>
      <c r="T8" s="138"/>
      <c r="U8" s="138"/>
      <c r="V8" s="145"/>
      <c r="W8" s="145"/>
    </row>
    <row r="9" spans="1:23" s="125" customFormat="1" ht="14.25" customHeight="1">
      <c r="A9" s="123" t="s">
        <v>1880</v>
      </c>
      <c r="B9" s="122" t="s">
        <v>19</v>
      </c>
      <c r="C9" s="122">
        <f t="shared" ref="C9" si="0">VLOOKUP(B9,$Q$3:$R$13,2,FALSE)</f>
        <v>4</v>
      </c>
      <c r="D9" s="122"/>
      <c r="E9" s="122" t="str">
        <f>IF(B9="Other","&lt;Please specify area of spend&gt;"," ")</f>
        <v xml:space="preserve"> </v>
      </c>
      <c r="F9" s="122" t="s">
        <v>8</v>
      </c>
      <c r="G9" s="644"/>
      <c r="H9" s="644"/>
      <c r="I9" s="122" t="s">
        <v>22</v>
      </c>
      <c r="J9" s="123" t="s">
        <v>1298</v>
      </c>
      <c r="K9" s="123">
        <v>1125</v>
      </c>
      <c r="L9" s="124"/>
      <c r="M9" s="647">
        <f t="shared" ref="M9:M40" si="1">IF($B9="acute",0,IF($F9="Local Authority",0,IF(AND($J9="CCG Minimum Contribution",$F9="Joint"),$K9*$G9,IF($J9="CCG Minimum Contribution",$K9,0))))</f>
        <v>0</v>
      </c>
      <c r="N9" s="291">
        <f t="shared" ref="N9:N40" si="2">IF($B9="acute",0,IF($F9="Local Authority",0,IF(AND($F9="Joint",$J9="CCG Minimum Contribution"),$L9*$G9,IF($J9="CCG Minimum Contribution",$L9,0))))</f>
        <v>0</v>
      </c>
      <c r="O9" s="291">
        <v>100</v>
      </c>
      <c r="P9" s="291"/>
      <c r="Q9" s="291" t="s">
        <v>19</v>
      </c>
      <c r="R9" s="291">
        <v>4</v>
      </c>
      <c r="S9" s="291"/>
      <c r="T9" s="291"/>
      <c r="U9" s="291"/>
      <c r="V9" s="255"/>
      <c r="W9" s="255"/>
    </row>
    <row r="10" spans="1:23" s="125" customFormat="1" ht="14.25" customHeight="1">
      <c r="A10" s="123" t="s">
        <v>1881</v>
      </c>
      <c r="B10" s="122" t="s">
        <v>645</v>
      </c>
      <c r="C10" s="122"/>
      <c r="D10" s="122"/>
      <c r="E10" s="122" t="str">
        <f t="shared" ref="E10:E57" si="3">IF(B10="Other","&lt;Please specify area of spend&gt;"," ")</f>
        <v xml:space="preserve"> </v>
      </c>
      <c r="F10" s="122" t="s">
        <v>15</v>
      </c>
      <c r="G10" s="644"/>
      <c r="H10" s="644"/>
      <c r="I10" s="122" t="s">
        <v>15</v>
      </c>
      <c r="J10" s="123" t="s">
        <v>1298</v>
      </c>
      <c r="K10" s="123">
        <v>825</v>
      </c>
      <c r="L10" s="124"/>
      <c r="M10" s="647">
        <f t="shared" si="1"/>
        <v>0</v>
      </c>
      <c r="N10" s="291">
        <f t="shared" si="2"/>
        <v>0</v>
      </c>
      <c r="O10" s="291">
        <v>101</v>
      </c>
      <c r="P10" s="291"/>
      <c r="Q10" s="291" t="s">
        <v>26</v>
      </c>
      <c r="R10" s="291">
        <v>5</v>
      </c>
      <c r="S10" s="291"/>
      <c r="T10" s="291"/>
      <c r="U10" s="291"/>
      <c r="V10" s="255"/>
      <c r="W10" s="255"/>
    </row>
    <row r="11" spans="1:23" s="125" customFormat="1" ht="14.25" customHeight="1">
      <c r="A11" s="123" t="s">
        <v>1882</v>
      </c>
      <c r="B11" s="122" t="s">
        <v>645</v>
      </c>
      <c r="C11" s="122"/>
      <c r="D11" s="122"/>
      <c r="E11" s="122" t="str">
        <f t="shared" si="3"/>
        <v xml:space="preserve"> </v>
      </c>
      <c r="F11" s="122" t="s">
        <v>15</v>
      </c>
      <c r="G11" s="644"/>
      <c r="H11" s="644"/>
      <c r="I11" s="122" t="s">
        <v>15</v>
      </c>
      <c r="J11" s="123" t="s">
        <v>1298</v>
      </c>
      <c r="K11" s="123">
        <v>650</v>
      </c>
      <c r="L11" s="124"/>
      <c r="M11" s="647">
        <f t="shared" si="1"/>
        <v>0</v>
      </c>
      <c r="N11" s="291">
        <f t="shared" si="2"/>
        <v>0</v>
      </c>
      <c r="O11" s="291">
        <v>102</v>
      </c>
      <c r="P11" s="291"/>
      <c r="Q11" s="291" t="s">
        <v>32</v>
      </c>
      <c r="R11" s="291">
        <v>6</v>
      </c>
      <c r="S11" s="291"/>
      <c r="T11" s="291"/>
      <c r="U11" s="291"/>
      <c r="V11" s="255"/>
      <c r="W11" s="255"/>
    </row>
    <row r="12" spans="1:23" s="125" customFormat="1" ht="14.25" customHeight="1">
      <c r="A12" s="123" t="s">
        <v>1883</v>
      </c>
      <c r="B12" s="122" t="s">
        <v>32</v>
      </c>
      <c r="C12" s="122"/>
      <c r="D12" s="122"/>
      <c r="E12" s="122" t="str">
        <f t="shared" si="3"/>
        <v xml:space="preserve"> </v>
      </c>
      <c r="F12" s="122" t="s">
        <v>8</v>
      </c>
      <c r="G12" s="644"/>
      <c r="H12" s="644"/>
      <c r="I12" s="122" t="s">
        <v>44</v>
      </c>
      <c r="J12" s="123" t="s">
        <v>646</v>
      </c>
      <c r="K12" s="123">
        <v>54</v>
      </c>
      <c r="L12" s="124"/>
      <c r="M12" s="647">
        <f t="shared" si="1"/>
        <v>0</v>
      </c>
      <c r="N12" s="291">
        <f t="shared" si="2"/>
        <v>0</v>
      </c>
      <c r="O12" s="291">
        <v>103</v>
      </c>
      <c r="P12" s="291"/>
      <c r="Q12" s="291" t="s">
        <v>37</v>
      </c>
      <c r="R12" s="291">
        <v>7</v>
      </c>
      <c r="S12" s="291"/>
      <c r="T12" s="291"/>
      <c r="U12" s="291"/>
      <c r="V12" s="255"/>
      <c r="W12" s="255"/>
    </row>
    <row r="13" spans="1:23" s="125" customFormat="1" ht="14.25" customHeight="1">
      <c r="A13" s="123" t="s">
        <v>1884</v>
      </c>
      <c r="B13" s="122" t="s">
        <v>32</v>
      </c>
      <c r="C13" s="122"/>
      <c r="D13" s="122"/>
      <c r="E13" s="122" t="str">
        <f t="shared" si="3"/>
        <v xml:space="preserve"> </v>
      </c>
      <c r="F13" s="122" t="s">
        <v>8</v>
      </c>
      <c r="G13" s="644"/>
      <c r="H13" s="644"/>
      <c r="I13" s="122" t="s">
        <v>44</v>
      </c>
      <c r="J13" s="123" t="s">
        <v>646</v>
      </c>
      <c r="K13" s="123">
        <v>1365</v>
      </c>
      <c r="L13" s="124"/>
      <c r="M13" s="647">
        <f t="shared" si="1"/>
        <v>0</v>
      </c>
      <c r="N13" s="291">
        <f t="shared" si="2"/>
        <v>0</v>
      </c>
      <c r="O13" s="291">
        <v>104</v>
      </c>
      <c r="P13" s="291"/>
      <c r="Q13" s="291" t="s">
        <v>42</v>
      </c>
      <c r="R13" s="291">
        <v>8</v>
      </c>
      <c r="S13" s="291"/>
      <c r="T13" s="291"/>
      <c r="U13" s="291"/>
      <c r="V13" s="255"/>
      <c r="W13" s="255"/>
    </row>
    <row r="14" spans="1:23" s="125" customFormat="1">
      <c r="A14" s="123" t="s">
        <v>1885</v>
      </c>
      <c r="B14" s="122" t="s">
        <v>19</v>
      </c>
      <c r="C14" s="122"/>
      <c r="D14" s="122"/>
      <c r="E14" s="122" t="str">
        <f t="shared" si="3"/>
        <v xml:space="preserve"> </v>
      </c>
      <c r="F14" s="122" t="s">
        <v>8</v>
      </c>
      <c r="G14" s="644"/>
      <c r="H14" s="644"/>
      <c r="I14" s="122" t="s">
        <v>22</v>
      </c>
      <c r="J14" s="123" t="s">
        <v>646</v>
      </c>
      <c r="K14" s="123">
        <v>315</v>
      </c>
      <c r="L14" s="124"/>
      <c r="M14" s="647">
        <f t="shared" si="1"/>
        <v>0</v>
      </c>
      <c r="N14" s="291">
        <f t="shared" si="2"/>
        <v>0</v>
      </c>
      <c r="O14" s="291">
        <v>105</v>
      </c>
      <c r="P14" s="291"/>
      <c r="Q14" s="291"/>
      <c r="R14" s="291"/>
      <c r="S14" s="291"/>
      <c r="T14" s="291"/>
      <c r="U14" s="291"/>
      <c r="V14" s="255"/>
      <c r="W14" s="255"/>
    </row>
    <row r="15" spans="1:23" s="125" customFormat="1">
      <c r="A15" s="123" t="s">
        <v>1885</v>
      </c>
      <c r="B15" s="122" t="s">
        <v>19</v>
      </c>
      <c r="C15" s="122"/>
      <c r="D15" s="122"/>
      <c r="E15" s="122" t="str">
        <f t="shared" si="3"/>
        <v xml:space="preserve"> </v>
      </c>
      <c r="F15" s="122" t="s">
        <v>15</v>
      </c>
      <c r="G15" s="644"/>
      <c r="H15" s="644"/>
      <c r="I15" s="122" t="s">
        <v>22</v>
      </c>
      <c r="J15" s="123" t="s">
        <v>646</v>
      </c>
      <c r="K15" s="123">
        <v>676</v>
      </c>
      <c r="L15" s="124"/>
      <c r="M15" s="647">
        <f t="shared" si="1"/>
        <v>0</v>
      </c>
      <c r="N15" s="291">
        <f t="shared" si="2"/>
        <v>0</v>
      </c>
      <c r="O15" s="291">
        <v>106</v>
      </c>
      <c r="P15" s="291"/>
      <c r="Q15" s="291"/>
      <c r="R15" s="291"/>
      <c r="S15" s="291"/>
      <c r="T15" s="291"/>
      <c r="U15" s="291"/>
      <c r="V15" s="255"/>
      <c r="W15" s="255"/>
    </row>
    <row r="16" spans="1:23" s="125" customFormat="1">
      <c r="A16" s="123" t="s">
        <v>1886</v>
      </c>
      <c r="B16" s="122" t="s">
        <v>19</v>
      </c>
      <c r="C16" s="122"/>
      <c r="D16" s="122"/>
      <c r="E16" s="122" t="str">
        <f t="shared" si="3"/>
        <v xml:space="preserve"> </v>
      </c>
      <c r="F16" s="122" t="s">
        <v>15</v>
      </c>
      <c r="G16" s="644"/>
      <c r="H16" s="644"/>
      <c r="I16" s="122" t="s">
        <v>22</v>
      </c>
      <c r="J16" s="123" t="s">
        <v>646</v>
      </c>
      <c r="K16" s="123">
        <v>250</v>
      </c>
      <c r="L16" s="124"/>
      <c r="M16" s="647">
        <f t="shared" si="1"/>
        <v>0</v>
      </c>
      <c r="N16" s="291">
        <f t="shared" si="2"/>
        <v>0</v>
      </c>
      <c r="O16" s="291">
        <v>107</v>
      </c>
      <c r="P16" s="291"/>
      <c r="Q16" s="291"/>
      <c r="R16" s="291"/>
      <c r="S16" s="291"/>
      <c r="T16" s="291"/>
      <c r="U16" s="291"/>
      <c r="V16" s="255"/>
      <c r="W16" s="255"/>
    </row>
    <row r="17" spans="1:23" s="125" customFormat="1">
      <c r="A17" s="123" t="s">
        <v>1886</v>
      </c>
      <c r="B17" s="122" t="s">
        <v>19</v>
      </c>
      <c r="C17" s="122"/>
      <c r="D17" s="122"/>
      <c r="E17" s="122" t="str">
        <f t="shared" si="3"/>
        <v xml:space="preserve"> </v>
      </c>
      <c r="F17" s="122" t="s">
        <v>8</v>
      </c>
      <c r="G17" s="644"/>
      <c r="H17" s="644"/>
      <c r="I17" s="122" t="s">
        <v>22</v>
      </c>
      <c r="J17" s="123" t="s">
        <v>646</v>
      </c>
      <c r="K17" s="123">
        <v>132</v>
      </c>
      <c r="L17" s="124"/>
      <c r="M17" s="647">
        <f t="shared" si="1"/>
        <v>0</v>
      </c>
      <c r="N17" s="291">
        <f t="shared" si="2"/>
        <v>0</v>
      </c>
      <c r="O17" s="291">
        <v>108</v>
      </c>
      <c r="P17" s="291"/>
      <c r="Q17" s="291"/>
      <c r="R17" s="291"/>
      <c r="S17" s="291"/>
      <c r="T17" s="291"/>
      <c r="U17" s="291"/>
      <c r="V17" s="255"/>
      <c r="W17" s="255"/>
    </row>
    <row r="18" spans="1:23" s="125" customFormat="1">
      <c r="A18" s="123" t="s">
        <v>1887</v>
      </c>
      <c r="B18" s="122" t="s">
        <v>19</v>
      </c>
      <c r="C18" s="122"/>
      <c r="D18" s="122"/>
      <c r="E18" s="122" t="str">
        <f t="shared" si="3"/>
        <v xml:space="preserve"> </v>
      </c>
      <c r="F18" s="122" t="s">
        <v>8</v>
      </c>
      <c r="G18" s="644"/>
      <c r="H18" s="644"/>
      <c r="I18" s="122" t="s">
        <v>22</v>
      </c>
      <c r="J18" s="123" t="s">
        <v>646</v>
      </c>
      <c r="K18" s="123">
        <v>710</v>
      </c>
      <c r="L18" s="124"/>
      <c r="M18" s="647">
        <f t="shared" si="1"/>
        <v>0</v>
      </c>
      <c r="N18" s="291">
        <f t="shared" si="2"/>
        <v>0</v>
      </c>
      <c r="O18" s="291">
        <v>109</v>
      </c>
      <c r="P18" s="291"/>
      <c r="Q18" s="291"/>
      <c r="R18" s="291"/>
      <c r="S18" s="291"/>
      <c r="T18" s="291"/>
      <c r="U18" s="291"/>
      <c r="V18" s="255"/>
      <c r="W18" s="255"/>
    </row>
    <row r="19" spans="1:23" s="125" customFormat="1">
      <c r="A19" s="123" t="s">
        <v>1888</v>
      </c>
      <c r="B19" s="122" t="s">
        <v>19</v>
      </c>
      <c r="C19" s="122"/>
      <c r="D19" s="122"/>
      <c r="E19" s="122" t="str">
        <f t="shared" si="3"/>
        <v xml:space="preserve"> </v>
      </c>
      <c r="F19" s="122" t="s">
        <v>8</v>
      </c>
      <c r="G19" s="644"/>
      <c r="H19" s="644"/>
      <c r="I19" s="122" t="s">
        <v>22</v>
      </c>
      <c r="J19" s="123" t="s">
        <v>646</v>
      </c>
      <c r="K19" s="123">
        <v>150</v>
      </c>
      <c r="L19" s="124"/>
      <c r="M19" s="647">
        <f t="shared" si="1"/>
        <v>0</v>
      </c>
      <c r="N19" s="291">
        <f t="shared" si="2"/>
        <v>0</v>
      </c>
      <c r="O19" s="291">
        <v>110</v>
      </c>
      <c r="P19" s="291"/>
      <c r="Q19" s="291"/>
      <c r="R19" s="291"/>
      <c r="S19" s="291"/>
      <c r="T19" s="291"/>
      <c r="U19" s="291"/>
      <c r="V19" s="255"/>
      <c r="W19" s="255"/>
    </row>
    <row r="20" spans="1:23" s="125" customFormat="1">
      <c r="A20" s="123" t="s">
        <v>1889</v>
      </c>
      <c r="B20" s="122" t="s">
        <v>19</v>
      </c>
      <c r="C20" s="122"/>
      <c r="D20" s="122"/>
      <c r="E20" s="122" t="str">
        <f t="shared" si="3"/>
        <v xml:space="preserve"> </v>
      </c>
      <c r="F20" s="122" t="s">
        <v>8</v>
      </c>
      <c r="G20" s="644"/>
      <c r="H20" s="644"/>
      <c r="I20" s="122" t="s">
        <v>8</v>
      </c>
      <c r="J20" s="123" t="s">
        <v>646</v>
      </c>
      <c r="K20" s="123">
        <v>63</v>
      </c>
      <c r="L20" s="124"/>
      <c r="M20" s="647">
        <f t="shared" si="1"/>
        <v>0</v>
      </c>
      <c r="N20" s="291">
        <f t="shared" si="2"/>
        <v>0</v>
      </c>
      <c r="O20" s="291">
        <v>111</v>
      </c>
      <c r="P20" s="291"/>
      <c r="Q20" s="291"/>
      <c r="R20" s="291"/>
      <c r="S20" s="291"/>
      <c r="T20" s="291"/>
      <c r="U20" s="291"/>
      <c r="V20" s="255"/>
      <c r="W20" s="255"/>
    </row>
    <row r="21" spans="1:23" s="125" customFormat="1">
      <c r="A21" s="123" t="s">
        <v>1890</v>
      </c>
      <c r="B21" s="122" t="s">
        <v>645</v>
      </c>
      <c r="C21" s="122"/>
      <c r="D21" s="122"/>
      <c r="E21" s="122" t="str">
        <f t="shared" si="3"/>
        <v xml:space="preserve"> </v>
      </c>
      <c r="F21" s="122" t="s">
        <v>15</v>
      </c>
      <c r="G21" s="644"/>
      <c r="H21" s="644"/>
      <c r="I21" s="122" t="s">
        <v>44</v>
      </c>
      <c r="J21" s="123" t="s">
        <v>646</v>
      </c>
      <c r="K21" s="123">
        <v>60</v>
      </c>
      <c r="L21" s="124"/>
      <c r="M21" s="647">
        <f t="shared" si="1"/>
        <v>0</v>
      </c>
      <c r="N21" s="291">
        <f t="shared" si="2"/>
        <v>0</v>
      </c>
      <c r="O21" s="291">
        <v>112</v>
      </c>
      <c r="P21" s="291"/>
      <c r="Q21" s="291"/>
      <c r="R21" s="291"/>
      <c r="S21" s="291"/>
      <c r="T21" s="291"/>
      <c r="U21" s="291"/>
      <c r="V21" s="255"/>
      <c r="W21" s="255"/>
    </row>
    <row r="22" spans="1:23" s="125" customFormat="1">
      <c r="A22" s="123" t="s">
        <v>1891</v>
      </c>
      <c r="B22" s="122" t="s">
        <v>645</v>
      </c>
      <c r="C22" s="122"/>
      <c r="D22" s="122"/>
      <c r="E22" s="122" t="str">
        <f t="shared" si="3"/>
        <v xml:space="preserve"> </v>
      </c>
      <c r="F22" s="122" t="s">
        <v>15</v>
      </c>
      <c r="G22" s="644"/>
      <c r="H22" s="644"/>
      <c r="I22" s="122" t="s">
        <v>44</v>
      </c>
      <c r="J22" s="123" t="s">
        <v>646</v>
      </c>
      <c r="K22" s="123">
        <v>96</v>
      </c>
      <c r="L22" s="124"/>
      <c r="M22" s="647">
        <f t="shared" si="1"/>
        <v>0</v>
      </c>
      <c r="N22" s="291">
        <f t="shared" si="2"/>
        <v>0</v>
      </c>
      <c r="O22" s="291">
        <v>113</v>
      </c>
      <c r="P22" s="291"/>
      <c r="Q22" s="291"/>
      <c r="R22" s="291"/>
      <c r="S22" s="291"/>
      <c r="T22" s="291"/>
      <c r="U22" s="291"/>
      <c r="V22" s="255"/>
      <c r="W22" s="255"/>
    </row>
    <row r="23" spans="1:23" s="125" customFormat="1">
      <c r="A23" s="123" t="s">
        <v>1892</v>
      </c>
      <c r="B23" s="122" t="s">
        <v>19</v>
      </c>
      <c r="C23" s="122"/>
      <c r="D23" s="122"/>
      <c r="E23" s="122" t="str">
        <f t="shared" si="3"/>
        <v xml:space="preserve"> </v>
      </c>
      <c r="F23" s="122" t="s">
        <v>8</v>
      </c>
      <c r="G23" s="644"/>
      <c r="H23" s="644"/>
      <c r="I23" s="122" t="s">
        <v>22</v>
      </c>
      <c r="J23" s="123" t="s">
        <v>646</v>
      </c>
      <c r="K23" s="123">
        <v>42</v>
      </c>
      <c r="L23" s="124"/>
      <c r="M23" s="647">
        <f t="shared" si="1"/>
        <v>0</v>
      </c>
      <c r="N23" s="291">
        <f t="shared" si="2"/>
        <v>0</v>
      </c>
      <c r="O23" s="291">
        <v>114</v>
      </c>
      <c r="P23" s="291"/>
      <c r="Q23" s="291"/>
      <c r="R23" s="291"/>
      <c r="S23" s="291"/>
      <c r="T23" s="291"/>
      <c r="U23" s="291"/>
      <c r="V23" s="255"/>
      <c r="W23" s="255"/>
    </row>
    <row r="24" spans="1:23" s="125" customFormat="1">
      <c r="A24" s="123" t="s">
        <v>1893</v>
      </c>
      <c r="B24" s="122" t="s">
        <v>645</v>
      </c>
      <c r="C24" s="122"/>
      <c r="D24" s="122"/>
      <c r="E24" s="122" t="str">
        <f t="shared" si="3"/>
        <v xml:space="preserve"> </v>
      </c>
      <c r="F24" s="122" t="s">
        <v>15</v>
      </c>
      <c r="G24" s="644"/>
      <c r="H24" s="644"/>
      <c r="I24" s="122" t="s">
        <v>15</v>
      </c>
      <c r="J24" s="123" t="s">
        <v>646</v>
      </c>
      <c r="K24" s="123">
        <v>5902</v>
      </c>
      <c r="L24" s="124"/>
      <c r="M24" s="647">
        <f t="shared" si="1"/>
        <v>0</v>
      </c>
      <c r="N24" s="291">
        <f t="shared" si="2"/>
        <v>0</v>
      </c>
      <c r="O24" s="291">
        <v>115</v>
      </c>
      <c r="P24" s="291"/>
      <c r="Q24" s="291"/>
      <c r="R24" s="291"/>
      <c r="S24" s="291"/>
      <c r="T24" s="291"/>
      <c r="U24" s="291"/>
      <c r="V24" s="255"/>
      <c r="W24" s="255"/>
    </row>
    <row r="25" spans="1:23" s="125" customFormat="1">
      <c r="A25" s="123" t="s">
        <v>1894</v>
      </c>
      <c r="B25" s="122" t="s">
        <v>645</v>
      </c>
      <c r="C25" s="122"/>
      <c r="D25" s="122"/>
      <c r="E25" s="122" t="str">
        <f t="shared" si="3"/>
        <v xml:space="preserve"> </v>
      </c>
      <c r="F25" s="122" t="s">
        <v>15</v>
      </c>
      <c r="G25" s="644"/>
      <c r="H25" s="644"/>
      <c r="I25" s="122" t="s">
        <v>15</v>
      </c>
      <c r="J25" s="123" t="s">
        <v>646</v>
      </c>
      <c r="K25" s="123">
        <v>2623</v>
      </c>
      <c r="L25" s="124"/>
      <c r="M25" s="647">
        <f t="shared" si="1"/>
        <v>0</v>
      </c>
      <c r="N25" s="291">
        <f t="shared" si="2"/>
        <v>0</v>
      </c>
      <c r="O25" s="291">
        <v>116</v>
      </c>
      <c r="P25" s="291"/>
      <c r="Q25" s="291"/>
      <c r="R25" s="291"/>
      <c r="S25" s="291"/>
      <c r="T25" s="291"/>
      <c r="U25" s="291"/>
      <c r="V25" s="255"/>
      <c r="W25" s="255"/>
    </row>
    <row r="26" spans="1:23" s="125" customFormat="1">
      <c r="A26" s="123" t="s">
        <v>1880</v>
      </c>
      <c r="B26" s="122" t="s">
        <v>19</v>
      </c>
      <c r="C26" s="122"/>
      <c r="D26" s="122"/>
      <c r="E26" s="122" t="str">
        <f t="shared" si="3"/>
        <v xml:space="preserve"> </v>
      </c>
      <c r="F26" s="122" t="s">
        <v>8</v>
      </c>
      <c r="G26" s="644"/>
      <c r="H26" s="644"/>
      <c r="I26" s="122" t="s">
        <v>22</v>
      </c>
      <c r="J26" s="123" t="s">
        <v>1296</v>
      </c>
      <c r="K26" s="123"/>
      <c r="L26" s="124">
        <v>1125</v>
      </c>
      <c r="M26" s="647">
        <f t="shared" si="1"/>
        <v>0</v>
      </c>
      <c r="N26" s="291">
        <f t="shared" si="2"/>
        <v>1125</v>
      </c>
      <c r="O26" s="291">
        <v>117</v>
      </c>
      <c r="P26" s="291"/>
      <c r="Q26" s="291"/>
      <c r="R26" s="291"/>
      <c r="S26" s="291"/>
      <c r="T26" s="291"/>
      <c r="U26" s="291"/>
      <c r="V26" s="255"/>
      <c r="W26" s="255"/>
    </row>
    <row r="27" spans="1:23" s="125" customFormat="1">
      <c r="A27" s="123" t="s">
        <v>1881</v>
      </c>
      <c r="B27" s="122" t="s">
        <v>645</v>
      </c>
      <c r="C27" s="122"/>
      <c r="D27" s="122"/>
      <c r="E27" s="122" t="str">
        <f t="shared" si="3"/>
        <v xml:space="preserve"> </v>
      </c>
      <c r="F27" s="122" t="s">
        <v>15</v>
      </c>
      <c r="G27" s="644"/>
      <c r="H27" s="644"/>
      <c r="I27" s="122" t="s">
        <v>15</v>
      </c>
      <c r="J27" s="123" t="s">
        <v>1296</v>
      </c>
      <c r="K27" s="123"/>
      <c r="L27" s="124">
        <v>825</v>
      </c>
      <c r="M27" s="647">
        <f t="shared" si="1"/>
        <v>0</v>
      </c>
      <c r="N27" s="291">
        <f t="shared" si="2"/>
        <v>0</v>
      </c>
      <c r="O27" s="291">
        <v>118</v>
      </c>
      <c r="P27" s="291"/>
      <c r="Q27" s="291"/>
      <c r="R27" s="291"/>
      <c r="S27" s="291"/>
      <c r="T27" s="291"/>
      <c r="U27" s="291"/>
      <c r="V27" s="255"/>
      <c r="W27" s="255"/>
    </row>
    <row r="28" spans="1:23" s="125" customFormat="1">
      <c r="A28" s="123" t="s">
        <v>1882</v>
      </c>
      <c r="B28" s="122" t="s">
        <v>645</v>
      </c>
      <c r="C28" s="122"/>
      <c r="D28" s="122"/>
      <c r="E28" s="122" t="str">
        <f t="shared" si="3"/>
        <v xml:space="preserve"> </v>
      </c>
      <c r="F28" s="122" t="s">
        <v>15</v>
      </c>
      <c r="G28" s="644"/>
      <c r="H28" s="644"/>
      <c r="I28" s="122" t="s">
        <v>15</v>
      </c>
      <c r="J28" s="123" t="s">
        <v>1296</v>
      </c>
      <c r="K28" s="123"/>
      <c r="L28" s="124">
        <v>650</v>
      </c>
      <c r="M28" s="647">
        <f t="shared" si="1"/>
        <v>0</v>
      </c>
      <c r="N28" s="291">
        <f t="shared" si="2"/>
        <v>0</v>
      </c>
      <c r="O28" s="291">
        <v>119</v>
      </c>
      <c r="P28" s="291"/>
      <c r="Q28" s="291"/>
      <c r="R28" s="291"/>
      <c r="S28" s="291"/>
      <c r="T28" s="291"/>
      <c r="U28" s="291"/>
      <c r="V28" s="255"/>
      <c r="W28" s="255"/>
    </row>
    <row r="29" spans="1:23" s="125" customFormat="1">
      <c r="A29" s="123" t="s">
        <v>1883</v>
      </c>
      <c r="B29" s="122" t="s">
        <v>32</v>
      </c>
      <c r="C29" s="122"/>
      <c r="D29" s="122"/>
      <c r="E29" s="122" t="str">
        <f t="shared" si="3"/>
        <v xml:space="preserve"> </v>
      </c>
      <c r="F29" s="122" t="s">
        <v>8</v>
      </c>
      <c r="G29" s="644"/>
      <c r="H29" s="644"/>
      <c r="I29" s="122" t="s">
        <v>44</v>
      </c>
      <c r="J29" s="123" t="s">
        <v>1296</v>
      </c>
      <c r="K29" s="123"/>
      <c r="L29" s="124">
        <v>54</v>
      </c>
      <c r="M29" s="647">
        <f t="shared" si="1"/>
        <v>0</v>
      </c>
      <c r="N29" s="291">
        <f t="shared" si="2"/>
        <v>54</v>
      </c>
      <c r="O29" s="291">
        <v>120</v>
      </c>
      <c r="P29" s="291"/>
      <c r="Q29" s="291"/>
      <c r="R29" s="291"/>
      <c r="S29" s="291"/>
      <c r="T29" s="291"/>
      <c r="U29" s="291"/>
      <c r="V29" s="255"/>
      <c r="W29" s="255"/>
    </row>
    <row r="30" spans="1:23" s="125" customFormat="1">
      <c r="A30" s="123" t="s">
        <v>1884</v>
      </c>
      <c r="B30" s="122" t="s">
        <v>32</v>
      </c>
      <c r="C30" s="122"/>
      <c r="D30" s="122"/>
      <c r="E30" s="122" t="str">
        <f t="shared" si="3"/>
        <v xml:space="preserve"> </v>
      </c>
      <c r="F30" s="122" t="s">
        <v>8</v>
      </c>
      <c r="G30" s="644"/>
      <c r="H30" s="644"/>
      <c r="I30" s="122" t="s">
        <v>44</v>
      </c>
      <c r="J30" s="123" t="s">
        <v>1296</v>
      </c>
      <c r="K30" s="123"/>
      <c r="L30" s="124">
        <v>1365</v>
      </c>
      <c r="M30" s="647">
        <f t="shared" si="1"/>
        <v>0</v>
      </c>
      <c r="N30" s="291">
        <f t="shared" si="2"/>
        <v>1365</v>
      </c>
      <c r="O30" s="291">
        <v>121</v>
      </c>
      <c r="P30" s="291"/>
      <c r="Q30" s="291"/>
      <c r="R30" s="291"/>
      <c r="S30" s="291"/>
      <c r="T30" s="291"/>
      <c r="U30" s="291"/>
      <c r="V30" s="255"/>
      <c r="W30" s="255"/>
    </row>
    <row r="31" spans="1:23" s="125" customFormat="1">
      <c r="A31" s="123" t="s">
        <v>1885</v>
      </c>
      <c r="B31" s="122" t="s">
        <v>19</v>
      </c>
      <c r="C31" s="122"/>
      <c r="D31" s="122"/>
      <c r="E31" s="122" t="str">
        <f t="shared" si="3"/>
        <v xml:space="preserve"> </v>
      </c>
      <c r="F31" s="122" t="s">
        <v>8</v>
      </c>
      <c r="G31" s="644"/>
      <c r="H31" s="644"/>
      <c r="I31" s="122" t="s">
        <v>22</v>
      </c>
      <c r="J31" s="123" t="s">
        <v>1296</v>
      </c>
      <c r="K31" s="123"/>
      <c r="L31" s="124">
        <v>479</v>
      </c>
      <c r="M31" s="647">
        <f t="shared" si="1"/>
        <v>0</v>
      </c>
      <c r="N31" s="291">
        <f t="shared" si="2"/>
        <v>479</v>
      </c>
      <c r="O31" s="291">
        <v>122</v>
      </c>
      <c r="P31" s="291"/>
      <c r="Q31" s="291"/>
      <c r="R31" s="291"/>
      <c r="S31" s="291"/>
      <c r="T31" s="291"/>
      <c r="U31" s="291"/>
      <c r="V31" s="255"/>
      <c r="W31" s="255"/>
    </row>
    <row r="32" spans="1:23" s="125" customFormat="1">
      <c r="A32" s="123" t="s">
        <v>1885</v>
      </c>
      <c r="B32" s="122" t="s">
        <v>19</v>
      </c>
      <c r="C32" s="122"/>
      <c r="D32" s="122"/>
      <c r="E32" s="122" t="str">
        <f t="shared" si="3"/>
        <v xml:space="preserve"> </v>
      </c>
      <c r="F32" s="122" t="s">
        <v>15</v>
      </c>
      <c r="G32" s="644"/>
      <c r="H32" s="644"/>
      <c r="I32" s="122" t="s">
        <v>22</v>
      </c>
      <c r="J32" s="123" t="s">
        <v>1296</v>
      </c>
      <c r="K32" s="123"/>
      <c r="L32" s="124">
        <v>996</v>
      </c>
      <c r="M32" s="647">
        <f t="shared" si="1"/>
        <v>0</v>
      </c>
      <c r="N32" s="291">
        <f t="shared" si="2"/>
        <v>0</v>
      </c>
      <c r="O32" s="291">
        <v>123</v>
      </c>
      <c r="P32" s="291"/>
      <c r="Q32" s="291"/>
      <c r="R32" s="291"/>
      <c r="S32" s="291"/>
      <c r="T32" s="291"/>
      <c r="U32" s="291"/>
      <c r="V32" s="255"/>
      <c r="W32" s="255"/>
    </row>
    <row r="33" spans="1:23" s="125" customFormat="1">
      <c r="A33" s="123" t="s">
        <v>1886</v>
      </c>
      <c r="B33" s="122" t="s">
        <v>19</v>
      </c>
      <c r="C33" s="122"/>
      <c r="D33" s="122"/>
      <c r="E33" s="122" t="str">
        <f t="shared" si="3"/>
        <v xml:space="preserve"> </v>
      </c>
      <c r="F33" s="122" t="s">
        <v>8</v>
      </c>
      <c r="G33" s="644"/>
      <c r="H33" s="644"/>
      <c r="I33" s="122" t="s">
        <v>22</v>
      </c>
      <c r="J33" s="123" t="s">
        <v>1296</v>
      </c>
      <c r="K33" s="123"/>
      <c r="L33" s="124">
        <v>382</v>
      </c>
      <c r="M33" s="647">
        <f t="shared" si="1"/>
        <v>0</v>
      </c>
      <c r="N33" s="291">
        <f t="shared" si="2"/>
        <v>382</v>
      </c>
      <c r="O33" s="291">
        <v>124</v>
      </c>
      <c r="P33" s="291"/>
      <c r="Q33" s="291"/>
      <c r="R33" s="291"/>
      <c r="S33" s="291"/>
      <c r="T33" s="291"/>
      <c r="U33" s="291"/>
      <c r="V33" s="255"/>
      <c r="W33" s="255"/>
    </row>
    <row r="34" spans="1:23" s="125" customFormat="1">
      <c r="A34" s="123" t="s">
        <v>1887</v>
      </c>
      <c r="B34" s="122" t="s">
        <v>19</v>
      </c>
      <c r="C34" s="122"/>
      <c r="D34" s="122"/>
      <c r="E34" s="122" t="str">
        <f t="shared" si="3"/>
        <v xml:space="preserve"> </v>
      </c>
      <c r="F34" s="122" t="s">
        <v>8</v>
      </c>
      <c r="G34" s="644"/>
      <c r="H34" s="644"/>
      <c r="I34" s="122" t="s">
        <v>22</v>
      </c>
      <c r="J34" s="123" t="s">
        <v>1296</v>
      </c>
      <c r="K34" s="123"/>
      <c r="L34" s="124">
        <v>874</v>
      </c>
      <c r="M34" s="647">
        <f t="shared" si="1"/>
        <v>0</v>
      </c>
      <c r="N34" s="291">
        <f t="shared" si="2"/>
        <v>874</v>
      </c>
      <c r="O34" s="291">
        <v>125</v>
      </c>
      <c r="P34" s="291"/>
      <c r="Q34" s="291"/>
      <c r="R34" s="291"/>
      <c r="S34" s="291"/>
      <c r="T34" s="291"/>
      <c r="U34" s="291"/>
      <c r="V34" s="255"/>
      <c r="W34" s="255"/>
    </row>
    <row r="35" spans="1:23" s="125" customFormat="1">
      <c r="A35" s="123" t="s">
        <v>1888</v>
      </c>
      <c r="B35" s="122" t="s">
        <v>19</v>
      </c>
      <c r="C35" s="122"/>
      <c r="D35" s="122"/>
      <c r="E35" s="122" t="str">
        <f t="shared" si="3"/>
        <v xml:space="preserve"> </v>
      </c>
      <c r="F35" s="122" t="s">
        <v>8</v>
      </c>
      <c r="G35" s="644"/>
      <c r="H35" s="644"/>
      <c r="I35" s="122" t="s">
        <v>22</v>
      </c>
      <c r="J35" s="123" t="s">
        <v>1296</v>
      </c>
      <c r="K35" s="123"/>
      <c r="L35" s="124">
        <v>300</v>
      </c>
      <c r="M35" s="647">
        <f t="shared" si="1"/>
        <v>0</v>
      </c>
      <c r="N35" s="291">
        <f t="shared" si="2"/>
        <v>300</v>
      </c>
      <c r="O35" s="291">
        <v>126</v>
      </c>
      <c r="P35" s="291"/>
      <c r="Q35" s="291"/>
      <c r="R35" s="291"/>
      <c r="S35" s="291"/>
      <c r="T35" s="291"/>
      <c r="U35" s="291"/>
      <c r="V35" s="255"/>
      <c r="W35" s="255"/>
    </row>
    <row r="36" spans="1:23" s="125" customFormat="1">
      <c r="A36" s="123" t="s">
        <v>1889</v>
      </c>
      <c r="B36" s="122" t="s">
        <v>19</v>
      </c>
      <c r="C36" s="122"/>
      <c r="D36" s="122"/>
      <c r="E36" s="122" t="str">
        <f t="shared" si="3"/>
        <v xml:space="preserve"> </v>
      </c>
      <c r="F36" s="122" t="s">
        <v>8</v>
      </c>
      <c r="G36" s="644"/>
      <c r="H36" s="644"/>
      <c r="I36" s="122" t="s">
        <v>8</v>
      </c>
      <c r="J36" s="123" t="s">
        <v>1296</v>
      </c>
      <c r="K36" s="123"/>
      <c r="L36" s="124">
        <v>63</v>
      </c>
      <c r="M36" s="647">
        <f t="shared" si="1"/>
        <v>0</v>
      </c>
      <c r="N36" s="291">
        <f t="shared" si="2"/>
        <v>63</v>
      </c>
      <c r="O36" s="291">
        <v>127</v>
      </c>
      <c r="P36" s="291"/>
      <c r="Q36" s="291"/>
      <c r="R36" s="291"/>
      <c r="S36" s="291"/>
      <c r="T36" s="291"/>
      <c r="U36" s="291"/>
      <c r="V36" s="255"/>
      <c r="W36" s="255"/>
    </row>
    <row r="37" spans="1:23" s="125" customFormat="1">
      <c r="A37" s="123" t="s">
        <v>1890</v>
      </c>
      <c r="B37" s="122" t="s">
        <v>645</v>
      </c>
      <c r="C37" s="122"/>
      <c r="D37" s="122"/>
      <c r="E37" s="122" t="str">
        <f t="shared" si="3"/>
        <v xml:space="preserve"> </v>
      </c>
      <c r="F37" s="122" t="s">
        <v>15</v>
      </c>
      <c r="G37" s="644"/>
      <c r="H37" s="644"/>
      <c r="I37" s="122" t="s">
        <v>44</v>
      </c>
      <c r="J37" s="123" t="s">
        <v>1296</v>
      </c>
      <c r="K37" s="123"/>
      <c r="L37" s="124">
        <v>100</v>
      </c>
      <c r="M37" s="647">
        <f t="shared" si="1"/>
        <v>0</v>
      </c>
      <c r="N37" s="291">
        <f t="shared" si="2"/>
        <v>0</v>
      </c>
      <c r="O37" s="291">
        <v>128</v>
      </c>
      <c r="P37" s="291"/>
      <c r="Q37" s="291"/>
      <c r="R37" s="291"/>
      <c r="S37" s="291"/>
      <c r="T37" s="291"/>
      <c r="U37" s="291"/>
      <c r="V37" s="255"/>
      <c r="W37" s="255"/>
    </row>
    <row r="38" spans="1:23" s="125" customFormat="1">
      <c r="A38" s="123" t="s">
        <v>1891</v>
      </c>
      <c r="B38" s="122" t="s">
        <v>645</v>
      </c>
      <c r="C38" s="122"/>
      <c r="D38" s="122"/>
      <c r="E38" s="122" t="str">
        <f t="shared" si="3"/>
        <v xml:space="preserve"> </v>
      </c>
      <c r="F38" s="122" t="s">
        <v>15</v>
      </c>
      <c r="G38" s="644"/>
      <c r="H38" s="644"/>
      <c r="I38" s="122" t="s">
        <v>44</v>
      </c>
      <c r="J38" s="123" t="s">
        <v>1296</v>
      </c>
      <c r="K38" s="123"/>
      <c r="L38" s="124">
        <v>4</v>
      </c>
      <c r="M38" s="647">
        <f t="shared" si="1"/>
        <v>0</v>
      </c>
      <c r="N38" s="291">
        <f t="shared" si="2"/>
        <v>0</v>
      </c>
      <c r="O38" s="291">
        <v>129</v>
      </c>
      <c r="P38" s="291"/>
      <c r="Q38" s="291"/>
      <c r="R38" s="291"/>
      <c r="S38" s="291"/>
      <c r="T38" s="291"/>
      <c r="U38" s="291"/>
      <c r="V38" s="255"/>
      <c r="W38" s="255"/>
    </row>
    <row r="39" spans="1:23" s="125" customFormat="1">
      <c r="A39" s="123" t="s">
        <v>1892</v>
      </c>
      <c r="B39" s="122" t="s">
        <v>19</v>
      </c>
      <c r="C39" s="122"/>
      <c r="D39" s="122"/>
      <c r="E39" s="122" t="str">
        <f t="shared" si="3"/>
        <v xml:space="preserve"> </v>
      </c>
      <c r="F39" s="122" t="s">
        <v>8</v>
      </c>
      <c r="G39" s="644"/>
      <c r="H39" s="644"/>
      <c r="I39" s="122" t="s">
        <v>22</v>
      </c>
      <c r="J39" s="123" t="s">
        <v>1296</v>
      </c>
      <c r="K39" s="123"/>
      <c r="L39" s="124">
        <v>42</v>
      </c>
      <c r="M39" s="647">
        <f t="shared" si="1"/>
        <v>0</v>
      </c>
      <c r="N39" s="291">
        <f t="shared" si="2"/>
        <v>42</v>
      </c>
      <c r="O39" s="291">
        <v>130</v>
      </c>
      <c r="P39" s="291"/>
      <c r="Q39" s="291"/>
      <c r="R39" s="291"/>
      <c r="S39" s="291"/>
      <c r="T39" s="291"/>
      <c r="U39" s="291"/>
      <c r="V39" s="255"/>
      <c r="W39" s="255"/>
    </row>
    <row r="40" spans="1:23" s="125" customFormat="1">
      <c r="A40" s="123" t="s">
        <v>1893</v>
      </c>
      <c r="B40" s="122" t="s">
        <v>645</v>
      </c>
      <c r="C40" s="122"/>
      <c r="D40" s="122"/>
      <c r="E40" s="122" t="str">
        <f t="shared" si="3"/>
        <v xml:space="preserve"> </v>
      </c>
      <c r="F40" s="122" t="s">
        <v>15</v>
      </c>
      <c r="G40" s="644"/>
      <c r="H40" s="644"/>
      <c r="I40" s="122" t="s">
        <v>15</v>
      </c>
      <c r="J40" s="123" t="s">
        <v>1296</v>
      </c>
      <c r="K40" s="123"/>
      <c r="L40" s="124">
        <v>5902</v>
      </c>
      <c r="M40" s="647">
        <f t="shared" si="1"/>
        <v>0</v>
      </c>
      <c r="N40" s="291">
        <f t="shared" si="2"/>
        <v>0</v>
      </c>
      <c r="O40" s="291">
        <v>131</v>
      </c>
      <c r="P40" s="291"/>
      <c r="Q40" s="291"/>
      <c r="R40" s="291"/>
      <c r="S40" s="291"/>
      <c r="T40" s="291"/>
      <c r="U40" s="291"/>
      <c r="V40" s="255"/>
      <c r="W40" s="255"/>
    </row>
    <row r="41" spans="1:23" s="125" customFormat="1">
      <c r="A41" s="123" t="s">
        <v>1895</v>
      </c>
      <c r="B41" s="122" t="s">
        <v>645</v>
      </c>
      <c r="C41" s="122"/>
      <c r="D41" s="122"/>
      <c r="E41" s="122" t="str">
        <f t="shared" si="3"/>
        <v xml:space="preserve"> </v>
      </c>
      <c r="F41" s="122" t="s">
        <v>15</v>
      </c>
      <c r="G41" s="644"/>
      <c r="H41" s="644"/>
      <c r="I41" s="122" t="s">
        <v>15</v>
      </c>
      <c r="J41" s="123" t="s">
        <v>1296</v>
      </c>
      <c r="K41" s="123"/>
      <c r="L41" s="124">
        <v>5650</v>
      </c>
      <c r="M41" s="647">
        <f t="shared" ref="M41:M72" si="4">IF($B41="acute",0,IF($F41="Local Authority",0,IF(AND($J41="CCG Minimum Contribution",$F41="Joint"),$K41*$G41,IF($J41="CCG Minimum Contribution",$K41,0))))</f>
        <v>0</v>
      </c>
      <c r="N41" s="291">
        <f t="shared" ref="N41:N72" si="5">IF($B41="acute",0,IF($F41="Local Authority",0,IF(AND($F41="Joint",$J41="CCG Minimum Contribution"),$L41*$G41,IF($J41="CCG Minimum Contribution",$L41,0))))</f>
        <v>0</v>
      </c>
      <c r="O41" s="291">
        <v>132</v>
      </c>
      <c r="P41" s="291"/>
      <c r="Q41" s="291"/>
      <c r="R41" s="291"/>
      <c r="S41" s="291"/>
      <c r="T41" s="291"/>
      <c r="U41" s="291"/>
      <c r="V41" s="255"/>
      <c r="W41" s="255"/>
    </row>
    <row r="42" spans="1:23" s="125" customFormat="1">
      <c r="A42" s="123" t="s">
        <v>1896</v>
      </c>
      <c r="B42" s="122" t="s">
        <v>28</v>
      </c>
      <c r="C42" s="122"/>
      <c r="D42" s="122"/>
      <c r="E42" s="122" t="s">
        <v>1898</v>
      </c>
      <c r="F42" s="122" t="s">
        <v>8</v>
      </c>
      <c r="G42" s="644"/>
      <c r="H42" s="644"/>
      <c r="I42" s="122" t="s">
        <v>8</v>
      </c>
      <c r="J42" s="123" t="s">
        <v>1296</v>
      </c>
      <c r="K42" s="123"/>
      <c r="L42" s="124">
        <v>1573</v>
      </c>
      <c r="M42" s="647">
        <f t="shared" si="4"/>
        <v>0</v>
      </c>
      <c r="N42" s="291">
        <f t="shared" si="5"/>
        <v>1573</v>
      </c>
      <c r="O42" s="291">
        <v>133</v>
      </c>
      <c r="P42" s="291"/>
      <c r="Q42" s="291"/>
      <c r="R42" s="291"/>
      <c r="S42" s="291"/>
      <c r="T42" s="291"/>
      <c r="U42" s="291"/>
      <c r="V42" s="255"/>
      <c r="W42" s="255"/>
    </row>
    <row r="43" spans="1:23" s="125" customFormat="1">
      <c r="A43" s="123" t="s">
        <v>1899</v>
      </c>
      <c r="B43" s="122" t="s">
        <v>32</v>
      </c>
      <c r="C43" s="122"/>
      <c r="D43" s="122"/>
      <c r="E43" s="122" t="str">
        <f t="shared" si="3"/>
        <v xml:space="preserve"> </v>
      </c>
      <c r="F43" s="122" t="s">
        <v>8</v>
      </c>
      <c r="G43" s="644"/>
      <c r="H43" s="644"/>
      <c r="I43" s="122" t="s">
        <v>44</v>
      </c>
      <c r="J43" s="123" t="s">
        <v>1296</v>
      </c>
      <c r="K43" s="123"/>
      <c r="L43" s="124">
        <v>1000</v>
      </c>
      <c r="M43" s="647">
        <f t="shared" si="4"/>
        <v>0</v>
      </c>
      <c r="N43" s="291">
        <f t="shared" si="5"/>
        <v>1000</v>
      </c>
      <c r="O43" s="291">
        <v>134</v>
      </c>
      <c r="P43" s="291"/>
      <c r="Q43" s="291"/>
      <c r="R43" s="291"/>
      <c r="S43" s="291"/>
      <c r="T43" s="291"/>
      <c r="U43" s="291"/>
      <c r="V43" s="255"/>
      <c r="W43" s="255"/>
    </row>
    <row r="44" spans="1:23" s="125" customFormat="1">
      <c r="A44" s="123" t="s">
        <v>1894</v>
      </c>
      <c r="B44" s="122" t="s">
        <v>645</v>
      </c>
      <c r="C44" s="122"/>
      <c r="D44" s="122"/>
      <c r="E44" s="122" t="str">
        <f t="shared" si="3"/>
        <v xml:space="preserve"> </v>
      </c>
      <c r="F44" s="122" t="s">
        <v>15</v>
      </c>
      <c r="G44" s="644"/>
      <c r="H44" s="644"/>
      <c r="I44" s="122" t="s">
        <v>15</v>
      </c>
      <c r="J44" s="123" t="s">
        <v>646</v>
      </c>
      <c r="K44" s="123"/>
      <c r="L44" s="124">
        <v>876</v>
      </c>
      <c r="M44" s="647">
        <f t="shared" si="4"/>
        <v>0</v>
      </c>
      <c r="N44" s="291">
        <f t="shared" si="5"/>
        <v>0</v>
      </c>
      <c r="O44" s="291">
        <v>135</v>
      </c>
      <c r="P44" s="291"/>
      <c r="Q44" s="291"/>
      <c r="R44" s="291"/>
      <c r="S44" s="291"/>
      <c r="T44" s="291"/>
      <c r="U44" s="291"/>
      <c r="V44" s="255"/>
      <c r="W44" s="255"/>
    </row>
    <row r="45" spans="1:23" s="125" customFormat="1">
      <c r="A45" s="123" t="s">
        <v>1897</v>
      </c>
      <c r="B45" s="122" t="s">
        <v>645</v>
      </c>
      <c r="C45" s="122"/>
      <c r="D45" s="122"/>
      <c r="E45" s="122" t="str">
        <f t="shared" si="3"/>
        <v xml:space="preserve"> </v>
      </c>
      <c r="F45" s="122" t="s">
        <v>15</v>
      </c>
      <c r="G45" s="644"/>
      <c r="H45" s="644"/>
      <c r="I45" s="122" t="s">
        <v>15</v>
      </c>
      <c r="J45" s="123" t="s">
        <v>646</v>
      </c>
      <c r="K45" s="123"/>
      <c r="L45" s="124">
        <v>1001</v>
      </c>
      <c r="M45" s="647">
        <f t="shared" si="4"/>
        <v>0</v>
      </c>
      <c r="N45" s="291">
        <f t="shared" si="5"/>
        <v>0</v>
      </c>
      <c r="O45" s="291">
        <v>136</v>
      </c>
      <c r="P45" s="291"/>
      <c r="Q45" s="291"/>
      <c r="R45" s="291"/>
      <c r="S45" s="291"/>
      <c r="T45" s="291"/>
      <c r="U45" s="291"/>
      <c r="V45" s="255"/>
      <c r="W45" s="255"/>
    </row>
    <row r="46" spans="1:23" s="125" customFormat="1">
      <c r="A46" s="123" t="s">
        <v>1915</v>
      </c>
      <c r="B46" s="122" t="s">
        <v>28</v>
      </c>
      <c r="C46" s="122"/>
      <c r="D46" s="122"/>
      <c r="E46" s="122" t="s">
        <v>1916</v>
      </c>
      <c r="F46" s="122" t="s">
        <v>8</v>
      </c>
      <c r="G46" s="644"/>
      <c r="H46" s="644"/>
      <c r="I46" s="122" t="s">
        <v>8</v>
      </c>
      <c r="J46" s="123" t="s">
        <v>646</v>
      </c>
      <c r="K46" s="123">
        <v>-102</v>
      </c>
      <c r="L46" s="124"/>
      <c r="M46" s="647">
        <f t="shared" si="4"/>
        <v>0</v>
      </c>
      <c r="N46" s="291">
        <f t="shared" si="5"/>
        <v>0</v>
      </c>
      <c r="O46" s="291">
        <v>137</v>
      </c>
      <c r="P46" s="291"/>
      <c r="Q46" s="291"/>
      <c r="R46" s="291"/>
      <c r="S46" s="291"/>
      <c r="T46" s="291"/>
      <c r="U46" s="291"/>
      <c r="V46" s="255"/>
      <c r="W46" s="255"/>
    </row>
    <row r="47" spans="1:23" s="125" customFormat="1">
      <c r="A47" s="123"/>
      <c r="B47" s="122"/>
      <c r="C47" s="122"/>
      <c r="D47" s="122"/>
      <c r="E47" s="122" t="str">
        <f t="shared" si="3"/>
        <v xml:space="preserve"> </v>
      </c>
      <c r="F47" s="122"/>
      <c r="G47" s="644"/>
      <c r="H47" s="644"/>
      <c r="I47" s="122"/>
      <c r="J47" s="123"/>
      <c r="K47" s="123"/>
      <c r="L47" s="124"/>
      <c r="M47" s="647">
        <f t="shared" si="4"/>
        <v>0</v>
      </c>
      <c r="N47" s="291">
        <f t="shared" si="5"/>
        <v>0</v>
      </c>
      <c r="O47" s="291">
        <v>138</v>
      </c>
      <c r="P47" s="291"/>
      <c r="Q47" s="291"/>
      <c r="R47" s="291"/>
      <c r="S47" s="291"/>
      <c r="T47" s="291"/>
      <c r="U47" s="291"/>
      <c r="V47" s="255"/>
      <c r="W47" s="255"/>
    </row>
    <row r="48" spans="1:23" s="125" customFormat="1">
      <c r="A48" s="123"/>
      <c r="B48" s="122"/>
      <c r="C48" s="122"/>
      <c r="D48" s="122"/>
      <c r="E48" s="122" t="str">
        <f t="shared" si="3"/>
        <v xml:space="preserve"> </v>
      </c>
      <c r="F48" s="122"/>
      <c r="G48" s="644"/>
      <c r="H48" s="644"/>
      <c r="I48" s="122"/>
      <c r="J48" s="123"/>
      <c r="K48" s="123"/>
      <c r="L48" s="124"/>
      <c r="M48" s="647">
        <f t="shared" si="4"/>
        <v>0</v>
      </c>
      <c r="N48" s="291">
        <f t="shared" si="5"/>
        <v>0</v>
      </c>
      <c r="O48" s="291">
        <v>139</v>
      </c>
      <c r="P48" s="291"/>
      <c r="Q48" s="291"/>
      <c r="R48" s="291"/>
      <c r="S48" s="291"/>
      <c r="T48" s="291"/>
      <c r="U48" s="291"/>
      <c r="V48" s="255"/>
      <c r="W48" s="255"/>
    </row>
    <row r="49" spans="1:23" s="125" customFormat="1">
      <c r="A49" s="123"/>
      <c r="B49" s="122"/>
      <c r="C49" s="122"/>
      <c r="D49" s="122"/>
      <c r="E49" s="122" t="str">
        <f t="shared" si="3"/>
        <v xml:space="preserve"> </v>
      </c>
      <c r="F49" s="122"/>
      <c r="G49" s="644"/>
      <c r="H49" s="644"/>
      <c r="I49" s="122"/>
      <c r="J49" s="123"/>
      <c r="K49" s="123"/>
      <c r="L49" s="124"/>
      <c r="M49" s="647">
        <f t="shared" si="4"/>
        <v>0</v>
      </c>
      <c r="N49" s="291">
        <f t="shared" si="5"/>
        <v>0</v>
      </c>
      <c r="O49" s="291">
        <v>140</v>
      </c>
      <c r="P49" s="291"/>
      <c r="Q49" s="291"/>
      <c r="R49" s="291"/>
      <c r="S49" s="291"/>
      <c r="T49" s="291"/>
      <c r="U49" s="291"/>
      <c r="V49" s="255"/>
      <c r="W49" s="255"/>
    </row>
    <row r="50" spans="1:23" s="125" customFormat="1">
      <c r="A50" s="123"/>
      <c r="B50" s="122"/>
      <c r="C50" s="122"/>
      <c r="D50" s="122"/>
      <c r="E50" s="122" t="str">
        <f t="shared" si="3"/>
        <v xml:space="preserve"> </v>
      </c>
      <c r="F50" s="122"/>
      <c r="G50" s="644"/>
      <c r="H50" s="644"/>
      <c r="I50" s="122"/>
      <c r="J50" s="123"/>
      <c r="K50" s="123"/>
      <c r="L50" s="124"/>
      <c r="M50" s="647">
        <f t="shared" si="4"/>
        <v>0</v>
      </c>
      <c r="N50" s="291">
        <f t="shared" si="5"/>
        <v>0</v>
      </c>
      <c r="O50" s="291">
        <v>141</v>
      </c>
      <c r="P50" s="291"/>
      <c r="Q50" s="291"/>
      <c r="R50" s="291"/>
      <c r="S50" s="291"/>
      <c r="T50" s="291"/>
      <c r="U50" s="291"/>
      <c r="V50" s="255"/>
      <c r="W50" s="255"/>
    </row>
    <row r="51" spans="1:23" s="125" customFormat="1">
      <c r="A51" s="123"/>
      <c r="B51" s="122"/>
      <c r="C51" s="122"/>
      <c r="D51" s="122"/>
      <c r="E51" s="122" t="str">
        <f t="shared" si="3"/>
        <v xml:space="preserve"> </v>
      </c>
      <c r="F51" s="122"/>
      <c r="G51" s="644"/>
      <c r="H51" s="644"/>
      <c r="I51" s="122"/>
      <c r="J51" s="123"/>
      <c r="K51" s="123"/>
      <c r="L51" s="124"/>
      <c r="M51" s="647">
        <f t="shared" si="4"/>
        <v>0</v>
      </c>
      <c r="N51" s="291">
        <f t="shared" si="5"/>
        <v>0</v>
      </c>
      <c r="O51" s="291">
        <v>142</v>
      </c>
      <c r="P51" s="291"/>
      <c r="Q51" s="291"/>
      <c r="R51" s="291"/>
      <c r="S51" s="291"/>
      <c r="T51" s="291"/>
      <c r="U51" s="291"/>
      <c r="V51" s="255"/>
      <c r="W51" s="255"/>
    </row>
    <row r="52" spans="1:23" s="125" customFormat="1">
      <c r="A52" s="123"/>
      <c r="B52" s="122"/>
      <c r="C52" s="122"/>
      <c r="D52" s="122"/>
      <c r="E52" s="122" t="str">
        <f t="shared" si="3"/>
        <v xml:space="preserve"> </v>
      </c>
      <c r="F52" s="122"/>
      <c r="G52" s="644"/>
      <c r="H52" s="644"/>
      <c r="I52" s="122"/>
      <c r="J52" s="123"/>
      <c r="K52" s="123"/>
      <c r="L52" s="124"/>
      <c r="M52" s="647">
        <f t="shared" si="4"/>
        <v>0</v>
      </c>
      <c r="N52" s="291">
        <f t="shared" si="5"/>
        <v>0</v>
      </c>
      <c r="O52" s="291">
        <v>143</v>
      </c>
      <c r="P52" s="291"/>
      <c r="Q52" s="291"/>
      <c r="R52" s="291"/>
      <c r="S52" s="291"/>
      <c r="T52" s="291"/>
      <c r="U52" s="291"/>
      <c r="V52" s="255"/>
      <c r="W52" s="255"/>
    </row>
    <row r="53" spans="1:23" s="125" customFormat="1">
      <c r="A53" s="123"/>
      <c r="B53" s="122"/>
      <c r="C53" s="122"/>
      <c r="D53" s="122"/>
      <c r="E53" s="122" t="str">
        <f t="shared" si="3"/>
        <v xml:space="preserve"> </v>
      </c>
      <c r="F53" s="122"/>
      <c r="G53" s="644"/>
      <c r="H53" s="644"/>
      <c r="I53" s="122"/>
      <c r="J53" s="123"/>
      <c r="K53" s="123"/>
      <c r="L53" s="124"/>
      <c r="M53" s="647">
        <f t="shared" si="4"/>
        <v>0</v>
      </c>
      <c r="N53" s="291">
        <f t="shared" si="5"/>
        <v>0</v>
      </c>
      <c r="O53" s="291">
        <v>144</v>
      </c>
      <c r="P53" s="291"/>
      <c r="Q53" s="291"/>
      <c r="R53" s="291"/>
      <c r="S53" s="291"/>
      <c r="T53" s="291"/>
      <c r="U53" s="291"/>
      <c r="V53" s="255"/>
      <c r="W53" s="255"/>
    </row>
    <row r="54" spans="1:23" s="125" customFormat="1">
      <c r="A54" s="123"/>
      <c r="B54" s="122"/>
      <c r="C54" s="122"/>
      <c r="D54" s="122"/>
      <c r="E54" s="122" t="str">
        <f t="shared" si="3"/>
        <v xml:space="preserve"> </v>
      </c>
      <c r="F54" s="122"/>
      <c r="G54" s="644"/>
      <c r="H54" s="644"/>
      <c r="I54" s="122"/>
      <c r="J54" s="123"/>
      <c r="K54" s="123"/>
      <c r="L54" s="124"/>
      <c r="M54" s="647">
        <f t="shared" si="4"/>
        <v>0</v>
      </c>
      <c r="N54" s="291">
        <f t="shared" si="5"/>
        <v>0</v>
      </c>
      <c r="O54" s="291">
        <v>145</v>
      </c>
      <c r="P54" s="291"/>
      <c r="Q54" s="291"/>
      <c r="R54" s="291"/>
      <c r="S54" s="291"/>
      <c r="T54" s="291"/>
      <c r="U54" s="291"/>
      <c r="V54" s="255"/>
      <c r="W54" s="255"/>
    </row>
    <row r="55" spans="1:23" s="125" customFormat="1">
      <c r="A55" s="123"/>
      <c r="B55" s="122"/>
      <c r="C55" s="122"/>
      <c r="D55" s="122"/>
      <c r="E55" s="122" t="str">
        <f t="shared" si="3"/>
        <v xml:space="preserve"> </v>
      </c>
      <c r="F55" s="122"/>
      <c r="G55" s="644"/>
      <c r="H55" s="644"/>
      <c r="I55" s="122"/>
      <c r="J55" s="123"/>
      <c r="K55" s="123"/>
      <c r="L55" s="124"/>
      <c r="M55" s="647">
        <f t="shared" si="4"/>
        <v>0</v>
      </c>
      <c r="N55" s="291">
        <f t="shared" si="5"/>
        <v>0</v>
      </c>
      <c r="O55" s="291">
        <v>146</v>
      </c>
      <c r="P55" s="291"/>
      <c r="Q55" s="291"/>
      <c r="R55" s="291"/>
      <c r="S55" s="291"/>
      <c r="T55" s="291"/>
      <c r="U55" s="291"/>
      <c r="V55" s="255"/>
      <c r="W55" s="255"/>
    </row>
    <row r="56" spans="1:23" s="125" customFormat="1">
      <c r="A56" s="123"/>
      <c r="B56" s="122"/>
      <c r="C56" s="122"/>
      <c r="D56" s="122"/>
      <c r="E56" s="122" t="str">
        <f t="shared" si="3"/>
        <v xml:space="preserve"> </v>
      </c>
      <c r="F56" s="122"/>
      <c r="G56" s="644"/>
      <c r="H56" s="644"/>
      <c r="I56" s="122"/>
      <c r="J56" s="123"/>
      <c r="K56" s="123"/>
      <c r="L56" s="124"/>
      <c r="M56" s="647">
        <f t="shared" si="4"/>
        <v>0</v>
      </c>
      <c r="N56" s="291">
        <f t="shared" si="5"/>
        <v>0</v>
      </c>
      <c r="O56" s="291">
        <v>147</v>
      </c>
      <c r="P56" s="291"/>
      <c r="Q56" s="291"/>
      <c r="R56" s="291"/>
      <c r="S56" s="291"/>
      <c r="T56" s="291"/>
      <c r="U56" s="291"/>
      <c r="V56" s="255"/>
      <c r="W56" s="255"/>
    </row>
    <row r="57" spans="1:23" s="125" customFormat="1">
      <c r="A57" s="123"/>
      <c r="B57" s="122"/>
      <c r="C57" s="122"/>
      <c r="D57" s="122"/>
      <c r="E57" s="122" t="str">
        <f t="shared" si="3"/>
        <v xml:space="preserve"> </v>
      </c>
      <c r="F57" s="122"/>
      <c r="G57" s="644"/>
      <c r="H57" s="644"/>
      <c r="I57" s="122"/>
      <c r="J57" s="123"/>
      <c r="K57" s="123"/>
      <c r="L57" s="124"/>
      <c r="M57" s="647">
        <f t="shared" si="4"/>
        <v>0</v>
      </c>
      <c r="N57" s="291">
        <f t="shared" si="5"/>
        <v>0</v>
      </c>
      <c r="O57" s="291">
        <v>148</v>
      </c>
      <c r="P57" s="291"/>
      <c r="Q57" s="291"/>
      <c r="R57" s="291"/>
      <c r="S57" s="291"/>
      <c r="T57" s="291"/>
      <c r="U57" s="291"/>
      <c r="V57" s="255"/>
      <c r="W57" s="255"/>
    </row>
    <row r="58" spans="1:23" s="125" customFormat="1">
      <c r="A58" s="123"/>
      <c r="B58" s="122"/>
      <c r="C58" s="122"/>
      <c r="D58" s="122"/>
      <c r="E58" s="122" t="str">
        <f t="shared" ref="E58:E108" si="6">IF(B58="Other","&lt;Please specify area of spend&gt;"," ")</f>
        <v xml:space="preserve"> </v>
      </c>
      <c r="F58" s="122"/>
      <c r="G58" s="644"/>
      <c r="H58" s="644"/>
      <c r="I58" s="122"/>
      <c r="J58" s="123"/>
      <c r="K58" s="123"/>
      <c r="L58" s="124"/>
      <c r="M58" s="647">
        <f t="shared" si="4"/>
        <v>0</v>
      </c>
      <c r="N58" s="291">
        <f t="shared" si="5"/>
        <v>0</v>
      </c>
      <c r="O58" s="291">
        <f t="shared" ref="O58:O89" si="7">ROW()+91</f>
        <v>149</v>
      </c>
      <c r="P58" s="291"/>
      <c r="Q58" s="291"/>
      <c r="R58" s="291"/>
      <c r="S58" s="291"/>
      <c r="T58" s="291"/>
      <c r="U58" s="291"/>
      <c r="V58" s="255"/>
      <c r="W58" s="255"/>
    </row>
    <row r="59" spans="1:23" s="125" customFormat="1">
      <c r="A59" s="123"/>
      <c r="B59" s="122"/>
      <c r="C59" s="122"/>
      <c r="D59" s="122"/>
      <c r="E59" s="122" t="str">
        <f t="shared" si="6"/>
        <v xml:space="preserve"> </v>
      </c>
      <c r="F59" s="122"/>
      <c r="G59" s="644"/>
      <c r="H59" s="644"/>
      <c r="I59" s="122"/>
      <c r="J59" s="123"/>
      <c r="K59" s="123"/>
      <c r="L59" s="124"/>
      <c r="M59" s="647">
        <f t="shared" si="4"/>
        <v>0</v>
      </c>
      <c r="N59" s="291">
        <f t="shared" si="5"/>
        <v>0</v>
      </c>
      <c r="O59" s="291">
        <f t="shared" si="7"/>
        <v>150</v>
      </c>
      <c r="P59" s="291"/>
      <c r="Q59" s="291"/>
      <c r="R59" s="291"/>
      <c r="S59" s="291"/>
      <c r="T59" s="291"/>
      <c r="U59" s="291"/>
      <c r="V59" s="255"/>
      <c r="W59" s="255"/>
    </row>
    <row r="60" spans="1:23" s="125" customFormat="1" hidden="1">
      <c r="A60" s="123"/>
      <c r="B60" s="122"/>
      <c r="C60" s="122"/>
      <c r="D60" s="122"/>
      <c r="E60" s="122" t="str">
        <f t="shared" si="6"/>
        <v xml:space="preserve"> </v>
      </c>
      <c r="F60" s="122"/>
      <c r="G60" s="644"/>
      <c r="H60" s="644"/>
      <c r="I60" s="122"/>
      <c r="J60" s="123"/>
      <c r="K60" s="123"/>
      <c r="L60" s="124"/>
      <c r="M60" s="647">
        <f t="shared" si="4"/>
        <v>0</v>
      </c>
      <c r="N60" s="291">
        <f t="shared" si="5"/>
        <v>0</v>
      </c>
      <c r="O60" s="291">
        <f t="shared" si="7"/>
        <v>151</v>
      </c>
      <c r="P60" s="291"/>
      <c r="Q60" s="291"/>
      <c r="R60" s="291"/>
      <c r="S60" s="291"/>
      <c r="T60" s="291"/>
      <c r="U60" s="291"/>
      <c r="V60" s="255"/>
      <c r="W60" s="255"/>
    </row>
    <row r="61" spans="1:23" s="125" customFormat="1" hidden="1">
      <c r="A61" s="123"/>
      <c r="B61" s="122"/>
      <c r="C61" s="122"/>
      <c r="D61" s="122"/>
      <c r="E61" s="122" t="str">
        <f t="shared" si="6"/>
        <v xml:space="preserve"> </v>
      </c>
      <c r="F61" s="122"/>
      <c r="G61" s="644"/>
      <c r="H61" s="644"/>
      <c r="I61" s="122"/>
      <c r="J61" s="123"/>
      <c r="K61" s="123"/>
      <c r="L61" s="124"/>
      <c r="M61" s="647">
        <f t="shared" si="4"/>
        <v>0</v>
      </c>
      <c r="N61" s="291">
        <f t="shared" si="5"/>
        <v>0</v>
      </c>
      <c r="O61" s="291">
        <f t="shared" si="7"/>
        <v>152</v>
      </c>
      <c r="P61" s="291"/>
      <c r="Q61" s="291"/>
      <c r="R61" s="291"/>
      <c r="S61" s="291"/>
      <c r="T61" s="291"/>
      <c r="U61" s="291"/>
      <c r="V61" s="255"/>
      <c r="W61" s="255"/>
    </row>
    <row r="62" spans="1:23" s="125" customFormat="1" hidden="1">
      <c r="A62" s="123"/>
      <c r="B62" s="122"/>
      <c r="C62" s="122"/>
      <c r="D62" s="122"/>
      <c r="E62" s="122" t="str">
        <f t="shared" si="6"/>
        <v xml:space="preserve"> </v>
      </c>
      <c r="F62" s="122"/>
      <c r="G62" s="644"/>
      <c r="H62" s="644"/>
      <c r="I62" s="122"/>
      <c r="J62" s="123"/>
      <c r="K62" s="123"/>
      <c r="L62" s="124"/>
      <c r="M62" s="647">
        <f t="shared" si="4"/>
        <v>0</v>
      </c>
      <c r="N62" s="291">
        <f t="shared" si="5"/>
        <v>0</v>
      </c>
      <c r="O62" s="291">
        <f t="shared" si="7"/>
        <v>153</v>
      </c>
      <c r="P62" s="291"/>
      <c r="Q62" s="291"/>
      <c r="R62" s="291"/>
      <c r="S62" s="291"/>
      <c r="T62" s="291"/>
      <c r="U62" s="291"/>
      <c r="V62" s="255"/>
      <c r="W62" s="255"/>
    </row>
    <row r="63" spans="1:23" s="125" customFormat="1" hidden="1">
      <c r="A63" s="123"/>
      <c r="B63" s="122"/>
      <c r="C63" s="122"/>
      <c r="D63" s="122"/>
      <c r="E63" s="122" t="str">
        <f t="shared" si="6"/>
        <v xml:space="preserve"> </v>
      </c>
      <c r="F63" s="122"/>
      <c r="G63" s="644"/>
      <c r="H63" s="644"/>
      <c r="I63" s="122"/>
      <c r="J63" s="123"/>
      <c r="K63" s="123"/>
      <c r="L63" s="124"/>
      <c r="M63" s="647">
        <f t="shared" si="4"/>
        <v>0</v>
      </c>
      <c r="N63" s="291">
        <f t="shared" si="5"/>
        <v>0</v>
      </c>
      <c r="O63" s="291">
        <f t="shared" si="7"/>
        <v>154</v>
      </c>
      <c r="P63" s="291"/>
      <c r="Q63" s="291"/>
      <c r="R63" s="291"/>
      <c r="S63" s="291"/>
      <c r="T63" s="291"/>
      <c r="U63" s="291"/>
      <c r="V63" s="255"/>
      <c r="W63" s="255"/>
    </row>
    <row r="64" spans="1:23" s="125" customFormat="1" hidden="1">
      <c r="A64" s="123"/>
      <c r="B64" s="122"/>
      <c r="C64" s="122"/>
      <c r="D64" s="122"/>
      <c r="E64" s="122" t="str">
        <f t="shared" si="6"/>
        <v xml:space="preserve"> </v>
      </c>
      <c r="F64" s="122"/>
      <c r="G64" s="644"/>
      <c r="H64" s="644"/>
      <c r="I64" s="122"/>
      <c r="J64" s="123"/>
      <c r="K64" s="123"/>
      <c r="L64" s="124"/>
      <c r="M64" s="647">
        <f t="shared" si="4"/>
        <v>0</v>
      </c>
      <c r="N64" s="291">
        <f t="shared" si="5"/>
        <v>0</v>
      </c>
      <c r="O64" s="291">
        <f t="shared" si="7"/>
        <v>155</v>
      </c>
      <c r="P64" s="291"/>
      <c r="Q64" s="291"/>
      <c r="R64" s="291"/>
      <c r="S64" s="291"/>
      <c r="T64" s="291"/>
      <c r="U64" s="291"/>
      <c r="V64" s="255"/>
      <c r="W64" s="255"/>
    </row>
    <row r="65" spans="1:23" s="125" customFormat="1" hidden="1">
      <c r="A65" s="123"/>
      <c r="B65" s="122"/>
      <c r="C65" s="122"/>
      <c r="D65" s="122"/>
      <c r="E65" s="122" t="str">
        <f t="shared" si="6"/>
        <v xml:space="preserve"> </v>
      </c>
      <c r="F65" s="122"/>
      <c r="G65" s="644"/>
      <c r="H65" s="644"/>
      <c r="I65" s="122"/>
      <c r="J65" s="123"/>
      <c r="K65" s="123"/>
      <c r="L65" s="124"/>
      <c r="M65" s="647">
        <f t="shared" si="4"/>
        <v>0</v>
      </c>
      <c r="N65" s="291">
        <f t="shared" si="5"/>
        <v>0</v>
      </c>
      <c r="O65" s="291">
        <f t="shared" si="7"/>
        <v>156</v>
      </c>
      <c r="P65" s="291"/>
      <c r="Q65" s="291"/>
      <c r="R65" s="291"/>
      <c r="S65" s="291"/>
      <c r="T65" s="291"/>
      <c r="U65" s="291"/>
      <c r="V65" s="255"/>
      <c r="W65" s="255"/>
    </row>
    <row r="66" spans="1:23" s="125" customFormat="1" hidden="1">
      <c r="A66" s="123"/>
      <c r="B66" s="122"/>
      <c r="C66" s="122"/>
      <c r="D66" s="122"/>
      <c r="E66" s="122" t="str">
        <f t="shared" si="6"/>
        <v xml:space="preserve"> </v>
      </c>
      <c r="F66" s="122"/>
      <c r="G66" s="644"/>
      <c r="H66" s="644"/>
      <c r="I66" s="122"/>
      <c r="J66" s="123"/>
      <c r="K66" s="123"/>
      <c r="L66" s="124"/>
      <c r="M66" s="647">
        <f t="shared" si="4"/>
        <v>0</v>
      </c>
      <c r="N66" s="291">
        <f t="shared" si="5"/>
        <v>0</v>
      </c>
      <c r="O66" s="291">
        <f t="shared" si="7"/>
        <v>157</v>
      </c>
      <c r="P66" s="291"/>
      <c r="Q66" s="291"/>
      <c r="R66" s="291"/>
      <c r="S66" s="291"/>
      <c r="T66" s="291"/>
      <c r="U66" s="291"/>
      <c r="V66" s="255"/>
      <c r="W66" s="255"/>
    </row>
    <row r="67" spans="1:23" s="125" customFormat="1" hidden="1">
      <c r="A67" s="123"/>
      <c r="B67" s="122"/>
      <c r="C67" s="122"/>
      <c r="D67" s="122"/>
      <c r="E67" s="122" t="str">
        <f t="shared" si="6"/>
        <v xml:space="preserve"> </v>
      </c>
      <c r="F67" s="122"/>
      <c r="G67" s="644"/>
      <c r="H67" s="644"/>
      <c r="I67" s="122"/>
      <c r="J67" s="123"/>
      <c r="K67" s="123"/>
      <c r="L67" s="124"/>
      <c r="M67" s="647">
        <f t="shared" si="4"/>
        <v>0</v>
      </c>
      <c r="N67" s="291">
        <f t="shared" si="5"/>
        <v>0</v>
      </c>
      <c r="O67" s="291">
        <f t="shared" si="7"/>
        <v>158</v>
      </c>
      <c r="P67" s="291"/>
      <c r="Q67" s="291"/>
      <c r="R67" s="291"/>
      <c r="S67" s="291"/>
      <c r="T67" s="291"/>
      <c r="U67" s="291"/>
      <c r="V67" s="255"/>
      <c r="W67" s="255"/>
    </row>
    <row r="68" spans="1:23" s="125" customFormat="1" hidden="1">
      <c r="A68" s="123"/>
      <c r="B68" s="122"/>
      <c r="C68" s="122"/>
      <c r="D68" s="122"/>
      <c r="E68" s="122" t="str">
        <f t="shared" si="6"/>
        <v xml:space="preserve"> </v>
      </c>
      <c r="F68" s="122"/>
      <c r="G68" s="644"/>
      <c r="H68" s="644"/>
      <c r="I68" s="122"/>
      <c r="J68" s="123"/>
      <c r="K68" s="123"/>
      <c r="L68" s="124"/>
      <c r="M68" s="647">
        <f t="shared" si="4"/>
        <v>0</v>
      </c>
      <c r="N68" s="291">
        <f t="shared" si="5"/>
        <v>0</v>
      </c>
      <c r="O68" s="291">
        <f t="shared" si="7"/>
        <v>159</v>
      </c>
      <c r="P68" s="291"/>
      <c r="Q68" s="291"/>
      <c r="R68" s="291"/>
      <c r="S68" s="291"/>
      <c r="T68" s="291"/>
      <c r="U68" s="291"/>
      <c r="V68" s="255"/>
      <c r="W68" s="255"/>
    </row>
    <row r="69" spans="1:23" s="125" customFormat="1" hidden="1">
      <c r="A69" s="123"/>
      <c r="B69" s="122"/>
      <c r="C69" s="122"/>
      <c r="D69" s="122"/>
      <c r="E69" s="122" t="str">
        <f t="shared" si="6"/>
        <v xml:space="preserve"> </v>
      </c>
      <c r="F69" s="122"/>
      <c r="G69" s="644"/>
      <c r="H69" s="644"/>
      <c r="I69" s="122"/>
      <c r="J69" s="123"/>
      <c r="K69" s="123"/>
      <c r="L69" s="124"/>
      <c r="M69" s="647">
        <f t="shared" si="4"/>
        <v>0</v>
      </c>
      <c r="N69" s="291">
        <f t="shared" si="5"/>
        <v>0</v>
      </c>
      <c r="O69" s="291">
        <f t="shared" si="7"/>
        <v>160</v>
      </c>
      <c r="P69" s="291"/>
      <c r="Q69" s="291"/>
      <c r="R69" s="291"/>
      <c r="S69" s="291"/>
      <c r="T69" s="291"/>
      <c r="U69" s="291"/>
      <c r="V69" s="255"/>
      <c r="W69" s="255"/>
    </row>
    <row r="70" spans="1:23" s="125" customFormat="1" hidden="1">
      <c r="A70" s="123"/>
      <c r="B70" s="122"/>
      <c r="C70" s="122"/>
      <c r="D70" s="122"/>
      <c r="E70" s="122" t="str">
        <f t="shared" si="6"/>
        <v xml:space="preserve"> </v>
      </c>
      <c r="F70" s="122"/>
      <c r="G70" s="644"/>
      <c r="H70" s="644"/>
      <c r="I70" s="122"/>
      <c r="J70" s="123"/>
      <c r="K70" s="123"/>
      <c r="L70" s="124"/>
      <c r="M70" s="647">
        <f t="shared" si="4"/>
        <v>0</v>
      </c>
      <c r="N70" s="291">
        <f t="shared" si="5"/>
        <v>0</v>
      </c>
      <c r="O70" s="291">
        <f t="shared" si="7"/>
        <v>161</v>
      </c>
      <c r="P70" s="291"/>
      <c r="Q70" s="291"/>
      <c r="R70" s="291"/>
      <c r="S70" s="291"/>
      <c r="T70" s="291"/>
      <c r="U70" s="291"/>
      <c r="V70" s="255"/>
      <c r="W70" s="255"/>
    </row>
    <row r="71" spans="1:23" s="125" customFormat="1" hidden="1">
      <c r="A71" s="123"/>
      <c r="B71" s="122"/>
      <c r="C71" s="122"/>
      <c r="D71" s="122"/>
      <c r="E71" s="122" t="str">
        <f t="shared" si="6"/>
        <v xml:space="preserve"> </v>
      </c>
      <c r="F71" s="122"/>
      <c r="G71" s="644"/>
      <c r="H71" s="644"/>
      <c r="I71" s="122"/>
      <c r="J71" s="123"/>
      <c r="K71" s="123"/>
      <c r="L71" s="124"/>
      <c r="M71" s="647">
        <f t="shared" si="4"/>
        <v>0</v>
      </c>
      <c r="N71" s="291">
        <f t="shared" si="5"/>
        <v>0</v>
      </c>
      <c r="O71" s="291">
        <f t="shared" si="7"/>
        <v>162</v>
      </c>
      <c r="P71" s="291"/>
      <c r="Q71" s="291"/>
      <c r="R71" s="291"/>
      <c r="S71" s="291"/>
      <c r="T71" s="291"/>
      <c r="U71" s="291"/>
      <c r="V71" s="255"/>
      <c r="W71" s="255"/>
    </row>
    <row r="72" spans="1:23" s="125" customFormat="1" hidden="1">
      <c r="A72" s="123"/>
      <c r="B72" s="122"/>
      <c r="C72" s="122"/>
      <c r="D72" s="122"/>
      <c r="E72" s="122" t="str">
        <f t="shared" si="6"/>
        <v xml:space="preserve"> </v>
      </c>
      <c r="F72" s="122"/>
      <c r="G72" s="644"/>
      <c r="H72" s="644"/>
      <c r="I72" s="122"/>
      <c r="J72" s="123"/>
      <c r="K72" s="123"/>
      <c r="L72" s="124"/>
      <c r="M72" s="647">
        <f t="shared" si="4"/>
        <v>0</v>
      </c>
      <c r="N72" s="291">
        <f t="shared" si="5"/>
        <v>0</v>
      </c>
      <c r="O72" s="291">
        <f t="shared" si="7"/>
        <v>163</v>
      </c>
      <c r="P72" s="291"/>
      <c r="Q72" s="291"/>
      <c r="R72" s="291"/>
      <c r="S72" s="291"/>
      <c r="T72" s="291"/>
      <c r="U72" s="291"/>
      <c r="V72" s="255"/>
      <c r="W72" s="255"/>
    </row>
    <row r="73" spans="1:23" s="125" customFormat="1" hidden="1">
      <c r="A73" s="123"/>
      <c r="B73" s="122"/>
      <c r="C73" s="122"/>
      <c r="D73" s="122"/>
      <c r="E73" s="122" t="str">
        <f t="shared" si="6"/>
        <v xml:space="preserve"> </v>
      </c>
      <c r="F73" s="122"/>
      <c r="G73" s="644"/>
      <c r="H73" s="644"/>
      <c r="I73" s="122"/>
      <c r="J73" s="123"/>
      <c r="K73" s="123"/>
      <c r="L73" s="124"/>
      <c r="M73" s="647">
        <f t="shared" ref="M73:M108" si="8">IF($B73="acute",0,IF($F73="Local Authority",0,IF(AND($J73="CCG Minimum Contribution",$F73="Joint"),$K73*$G73,IF($J73="CCG Minimum Contribution",$K73,0))))</f>
        <v>0</v>
      </c>
      <c r="N73" s="291">
        <f t="shared" ref="N73:N108" si="9">IF($B73="acute",0,IF($F73="Local Authority",0,IF(AND($F73="Joint",$J73="CCG Minimum Contribution"),$L73*$G73,IF($J73="CCG Minimum Contribution",$L73,0))))</f>
        <v>0</v>
      </c>
      <c r="O73" s="291">
        <f t="shared" si="7"/>
        <v>164</v>
      </c>
      <c r="P73" s="291"/>
      <c r="Q73" s="291"/>
      <c r="R73" s="291"/>
      <c r="S73" s="291"/>
      <c r="T73" s="291"/>
      <c r="U73" s="291"/>
      <c r="V73" s="255"/>
      <c r="W73" s="255"/>
    </row>
    <row r="74" spans="1:23" s="125" customFormat="1" hidden="1">
      <c r="A74" s="123"/>
      <c r="B74" s="122"/>
      <c r="C74" s="122"/>
      <c r="D74" s="122"/>
      <c r="E74" s="122" t="str">
        <f t="shared" si="6"/>
        <v xml:space="preserve"> </v>
      </c>
      <c r="F74" s="122"/>
      <c r="G74" s="644"/>
      <c r="H74" s="644"/>
      <c r="I74" s="122"/>
      <c r="J74" s="123"/>
      <c r="K74" s="123"/>
      <c r="L74" s="124"/>
      <c r="M74" s="647">
        <f t="shared" si="8"/>
        <v>0</v>
      </c>
      <c r="N74" s="291">
        <f t="shared" si="9"/>
        <v>0</v>
      </c>
      <c r="O74" s="291">
        <f t="shared" si="7"/>
        <v>165</v>
      </c>
      <c r="P74" s="291"/>
      <c r="Q74" s="291"/>
      <c r="R74" s="291"/>
      <c r="S74" s="291"/>
      <c r="T74" s="291"/>
      <c r="U74" s="291"/>
      <c r="V74" s="255"/>
      <c r="W74" s="255"/>
    </row>
    <row r="75" spans="1:23" s="125" customFormat="1" hidden="1">
      <c r="A75" s="123"/>
      <c r="B75" s="122"/>
      <c r="C75" s="122"/>
      <c r="D75" s="122"/>
      <c r="E75" s="122" t="str">
        <f t="shared" si="6"/>
        <v xml:space="preserve"> </v>
      </c>
      <c r="F75" s="122"/>
      <c r="G75" s="644"/>
      <c r="H75" s="644"/>
      <c r="I75" s="122"/>
      <c r="J75" s="123"/>
      <c r="K75" s="123"/>
      <c r="L75" s="124"/>
      <c r="M75" s="647">
        <f t="shared" si="8"/>
        <v>0</v>
      </c>
      <c r="N75" s="291">
        <f t="shared" si="9"/>
        <v>0</v>
      </c>
      <c r="O75" s="291">
        <f t="shared" si="7"/>
        <v>166</v>
      </c>
      <c r="P75" s="291"/>
      <c r="Q75" s="291"/>
      <c r="R75" s="291"/>
      <c r="S75" s="291"/>
      <c r="T75" s="291"/>
      <c r="U75" s="291"/>
      <c r="V75" s="255"/>
      <c r="W75" s="255"/>
    </row>
    <row r="76" spans="1:23" s="125" customFormat="1" hidden="1">
      <c r="A76" s="123"/>
      <c r="B76" s="122"/>
      <c r="C76" s="122"/>
      <c r="D76" s="122"/>
      <c r="E76" s="122" t="str">
        <f t="shared" si="6"/>
        <v xml:space="preserve"> </v>
      </c>
      <c r="F76" s="122"/>
      <c r="G76" s="644"/>
      <c r="H76" s="644"/>
      <c r="I76" s="122"/>
      <c r="J76" s="123"/>
      <c r="K76" s="123"/>
      <c r="L76" s="124"/>
      <c r="M76" s="647">
        <f t="shared" si="8"/>
        <v>0</v>
      </c>
      <c r="N76" s="291">
        <f t="shared" si="9"/>
        <v>0</v>
      </c>
      <c r="O76" s="291">
        <f t="shared" si="7"/>
        <v>167</v>
      </c>
      <c r="P76" s="291"/>
      <c r="Q76" s="291"/>
      <c r="R76" s="291"/>
      <c r="S76" s="291"/>
      <c r="T76" s="291"/>
      <c r="U76" s="291"/>
      <c r="V76" s="255"/>
      <c r="W76" s="255"/>
    </row>
    <row r="77" spans="1:23" s="125" customFormat="1" hidden="1">
      <c r="A77" s="123"/>
      <c r="B77" s="122"/>
      <c r="C77" s="122"/>
      <c r="D77" s="122"/>
      <c r="E77" s="122" t="str">
        <f t="shared" si="6"/>
        <v xml:space="preserve"> </v>
      </c>
      <c r="F77" s="122"/>
      <c r="G77" s="644"/>
      <c r="H77" s="644"/>
      <c r="I77" s="122"/>
      <c r="J77" s="123"/>
      <c r="K77" s="123"/>
      <c r="L77" s="124"/>
      <c r="M77" s="647">
        <f t="shared" si="8"/>
        <v>0</v>
      </c>
      <c r="N77" s="291">
        <f t="shared" si="9"/>
        <v>0</v>
      </c>
      <c r="O77" s="291">
        <f t="shared" si="7"/>
        <v>168</v>
      </c>
      <c r="P77" s="291"/>
      <c r="Q77" s="291"/>
      <c r="R77" s="291"/>
      <c r="S77" s="291"/>
      <c r="T77" s="291"/>
      <c r="U77" s="291"/>
      <c r="V77" s="255"/>
      <c r="W77" s="255"/>
    </row>
    <row r="78" spans="1:23" s="125" customFormat="1" hidden="1">
      <c r="A78" s="123"/>
      <c r="B78" s="122"/>
      <c r="C78" s="122"/>
      <c r="D78" s="122"/>
      <c r="E78" s="122" t="str">
        <f t="shared" si="6"/>
        <v xml:space="preserve"> </v>
      </c>
      <c r="F78" s="122"/>
      <c r="G78" s="644"/>
      <c r="H78" s="644"/>
      <c r="I78" s="122"/>
      <c r="J78" s="123"/>
      <c r="K78" s="123"/>
      <c r="L78" s="124"/>
      <c r="M78" s="647">
        <f t="shared" si="8"/>
        <v>0</v>
      </c>
      <c r="N78" s="291">
        <f t="shared" si="9"/>
        <v>0</v>
      </c>
      <c r="O78" s="291">
        <f t="shared" si="7"/>
        <v>169</v>
      </c>
      <c r="P78" s="291"/>
      <c r="Q78" s="291"/>
      <c r="R78" s="291"/>
      <c r="S78" s="291"/>
      <c r="T78" s="291"/>
      <c r="U78" s="291"/>
      <c r="V78" s="255"/>
      <c r="W78" s="255"/>
    </row>
    <row r="79" spans="1:23" s="125" customFormat="1" hidden="1">
      <c r="A79" s="123"/>
      <c r="B79" s="122"/>
      <c r="C79" s="122"/>
      <c r="D79" s="122"/>
      <c r="E79" s="122" t="str">
        <f t="shared" si="6"/>
        <v xml:space="preserve"> </v>
      </c>
      <c r="F79" s="122"/>
      <c r="G79" s="644"/>
      <c r="H79" s="644"/>
      <c r="I79" s="122"/>
      <c r="J79" s="123"/>
      <c r="K79" s="123"/>
      <c r="L79" s="124"/>
      <c r="M79" s="647">
        <f t="shared" si="8"/>
        <v>0</v>
      </c>
      <c r="N79" s="291">
        <f t="shared" si="9"/>
        <v>0</v>
      </c>
      <c r="O79" s="291">
        <f t="shared" si="7"/>
        <v>170</v>
      </c>
      <c r="P79" s="291"/>
      <c r="Q79" s="291"/>
      <c r="R79" s="291"/>
      <c r="S79" s="291"/>
      <c r="T79" s="291"/>
      <c r="U79" s="291"/>
      <c r="V79" s="255"/>
      <c r="W79" s="255"/>
    </row>
    <row r="80" spans="1:23" s="125" customFormat="1" hidden="1">
      <c r="A80" s="123"/>
      <c r="B80" s="122"/>
      <c r="C80" s="122"/>
      <c r="D80" s="122"/>
      <c r="E80" s="122" t="str">
        <f t="shared" si="6"/>
        <v xml:space="preserve"> </v>
      </c>
      <c r="F80" s="122"/>
      <c r="G80" s="644"/>
      <c r="H80" s="644"/>
      <c r="I80" s="122"/>
      <c r="J80" s="123"/>
      <c r="K80" s="123"/>
      <c r="L80" s="124"/>
      <c r="M80" s="647">
        <f t="shared" si="8"/>
        <v>0</v>
      </c>
      <c r="N80" s="291">
        <f t="shared" si="9"/>
        <v>0</v>
      </c>
      <c r="O80" s="291">
        <f t="shared" si="7"/>
        <v>171</v>
      </c>
      <c r="P80" s="291"/>
      <c r="Q80" s="291"/>
      <c r="R80" s="291"/>
      <c r="S80" s="291"/>
      <c r="T80" s="291"/>
      <c r="U80" s="291"/>
      <c r="V80" s="255"/>
      <c r="W80" s="255"/>
    </row>
    <row r="81" spans="1:23" s="125" customFormat="1" hidden="1">
      <c r="A81" s="123"/>
      <c r="B81" s="122"/>
      <c r="C81" s="122"/>
      <c r="D81" s="122"/>
      <c r="E81" s="122" t="str">
        <f t="shared" si="6"/>
        <v xml:space="preserve"> </v>
      </c>
      <c r="F81" s="122"/>
      <c r="G81" s="644"/>
      <c r="H81" s="644"/>
      <c r="I81" s="122"/>
      <c r="J81" s="123"/>
      <c r="K81" s="123"/>
      <c r="L81" s="124"/>
      <c r="M81" s="647">
        <f t="shared" si="8"/>
        <v>0</v>
      </c>
      <c r="N81" s="291">
        <f t="shared" si="9"/>
        <v>0</v>
      </c>
      <c r="O81" s="291">
        <f t="shared" si="7"/>
        <v>172</v>
      </c>
      <c r="P81" s="291"/>
      <c r="Q81" s="291"/>
      <c r="R81" s="291"/>
      <c r="S81" s="291"/>
      <c r="T81" s="291"/>
      <c r="U81" s="291"/>
      <c r="V81" s="255"/>
      <c r="W81" s="255"/>
    </row>
    <row r="82" spans="1:23" s="125" customFormat="1" hidden="1">
      <c r="A82" s="123"/>
      <c r="B82" s="122"/>
      <c r="C82" s="122"/>
      <c r="D82" s="122"/>
      <c r="E82" s="122" t="str">
        <f t="shared" si="6"/>
        <v xml:space="preserve"> </v>
      </c>
      <c r="F82" s="122"/>
      <c r="G82" s="644"/>
      <c r="H82" s="644"/>
      <c r="I82" s="122"/>
      <c r="J82" s="123"/>
      <c r="K82" s="123"/>
      <c r="L82" s="124"/>
      <c r="M82" s="647">
        <f t="shared" si="8"/>
        <v>0</v>
      </c>
      <c r="N82" s="291">
        <f t="shared" si="9"/>
        <v>0</v>
      </c>
      <c r="O82" s="291">
        <f t="shared" si="7"/>
        <v>173</v>
      </c>
      <c r="P82" s="291"/>
      <c r="Q82" s="291"/>
      <c r="R82" s="291"/>
      <c r="S82" s="291"/>
      <c r="T82" s="291"/>
      <c r="U82" s="291"/>
      <c r="V82" s="255"/>
      <c r="W82" s="255"/>
    </row>
    <row r="83" spans="1:23" s="125" customFormat="1" hidden="1">
      <c r="A83" s="123"/>
      <c r="B83" s="122"/>
      <c r="C83" s="122"/>
      <c r="D83" s="122"/>
      <c r="E83" s="122" t="str">
        <f t="shared" si="6"/>
        <v xml:space="preserve"> </v>
      </c>
      <c r="F83" s="122"/>
      <c r="G83" s="644"/>
      <c r="H83" s="644"/>
      <c r="I83" s="122"/>
      <c r="J83" s="123"/>
      <c r="K83" s="123"/>
      <c r="L83" s="124"/>
      <c r="M83" s="647">
        <f t="shared" si="8"/>
        <v>0</v>
      </c>
      <c r="N83" s="291">
        <f t="shared" si="9"/>
        <v>0</v>
      </c>
      <c r="O83" s="291">
        <f t="shared" si="7"/>
        <v>174</v>
      </c>
      <c r="P83" s="291"/>
      <c r="Q83" s="291"/>
      <c r="R83" s="291"/>
      <c r="S83" s="291"/>
      <c r="T83" s="291"/>
      <c r="U83" s="291"/>
      <c r="V83" s="255"/>
      <c r="W83" s="255"/>
    </row>
    <row r="84" spans="1:23" s="125" customFormat="1" hidden="1">
      <c r="A84" s="123"/>
      <c r="B84" s="122"/>
      <c r="C84" s="122"/>
      <c r="D84" s="122"/>
      <c r="E84" s="122" t="str">
        <f t="shared" si="6"/>
        <v xml:space="preserve"> </v>
      </c>
      <c r="F84" s="122"/>
      <c r="G84" s="644"/>
      <c r="H84" s="644"/>
      <c r="I84" s="122"/>
      <c r="J84" s="123"/>
      <c r="K84" s="123"/>
      <c r="L84" s="124"/>
      <c r="M84" s="647">
        <f t="shared" si="8"/>
        <v>0</v>
      </c>
      <c r="N84" s="291">
        <f t="shared" si="9"/>
        <v>0</v>
      </c>
      <c r="O84" s="291">
        <f t="shared" si="7"/>
        <v>175</v>
      </c>
      <c r="P84" s="291"/>
      <c r="Q84" s="291"/>
      <c r="R84" s="291"/>
      <c r="S84" s="291"/>
      <c r="T84" s="291"/>
      <c r="U84" s="291"/>
      <c r="V84" s="255"/>
      <c r="W84" s="255"/>
    </row>
    <row r="85" spans="1:23" s="125" customFormat="1" hidden="1">
      <c r="A85" s="123"/>
      <c r="B85" s="122"/>
      <c r="C85" s="122"/>
      <c r="D85" s="122"/>
      <c r="E85" s="122" t="str">
        <f t="shared" si="6"/>
        <v xml:space="preserve"> </v>
      </c>
      <c r="F85" s="122"/>
      <c r="G85" s="644"/>
      <c r="H85" s="644"/>
      <c r="I85" s="122"/>
      <c r="J85" s="123"/>
      <c r="K85" s="123"/>
      <c r="L85" s="124"/>
      <c r="M85" s="647">
        <f t="shared" si="8"/>
        <v>0</v>
      </c>
      <c r="N85" s="291">
        <f t="shared" si="9"/>
        <v>0</v>
      </c>
      <c r="O85" s="291">
        <f t="shared" si="7"/>
        <v>176</v>
      </c>
      <c r="P85" s="291"/>
      <c r="Q85" s="291"/>
      <c r="R85" s="291"/>
      <c r="S85" s="291"/>
      <c r="T85" s="291"/>
      <c r="U85" s="291"/>
      <c r="V85" s="255"/>
      <c r="W85" s="255"/>
    </row>
    <row r="86" spans="1:23" s="125" customFormat="1" hidden="1">
      <c r="A86" s="123"/>
      <c r="B86" s="122"/>
      <c r="C86" s="122"/>
      <c r="D86" s="122"/>
      <c r="E86" s="122" t="str">
        <f t="shared" si="6"/>
        <v xml:space="preserve"> </v>
      </c>
      <c r="F86" s="122"/>
      <c r="G86" s="644"/>
      <c r="H86" s="644"/>
      <c r="I86" s="122"/>
      <c r="J86" s="123"/>
      <c r="K86" s="123"/>
      <c r="L86" s="124"/>
      <c r="M86" s="647">
        <f t="shared" si="8"/>
        <v>0</v>
      </c>
      <c r="N86" s="291">
        <f t="shared" si="9"/>
        <v>0</v>
      </c>
      <c r="O86" s="291">
        <f t="shared" si="7"/>
        <v>177</v>
      </c>
      <c r="P86" s="291"/>
      <c r="Q86" s="291"/>
      <c r="R86" s="291"/>
      <c r="S86" s="291"/>
      <c r="T86" s="291"/>
      <c r="U86" s="291"/>
      <c r="V86" s="255"/>
      <c r="W86" s="255"/>
    </row>
    <row r="87" spans="1:23" s="125" customFormat="1" hidden="1">
      <c r="A87" s="123"/>
      <c r="B87" s="122"/>
      <c r="C87" s="122"/>
      <c r="D87" s="122"/>
      <c r="E87" s="122" t="str">
        <f t="shared" si="6"/>
        <v xml:space="preserve"> </v>
      </c>
      <c r="F87" s="122"/>
      <c r="G87" s="644"/>
      <c r="H87" s="644"/>
      <c r="I87" s="122"/>
      <c r="J87" s="123"/>
      <c r="K87" s="123"/>
      <c r="L87" s="124"/>
      <c r="M87" s="647">
        <f t="shared" si="8"/>
        <v>0</v>
      </c>
      <c r="N87" s="291">
        <f t="shared" si="9"/>
        <v>0</v>
      </c>
      <c r="O87" s="291">
        <f t="shared" si="7"/>
        <v>178</v>
      </c>
      <c r="P87" s="291"/>
      <c r="Q87" s="291"/>
      <c r="R87" s="291"/>
      <c r="S87" s="291"/>
      <c r="T87" s="291"/>
      <c r="U87" s="291"/>
      <c r="V87" s="255"/>
      <c r="W87" s="255"/>
    </row>
    <row r="88" spans="1:23" s="125" customFormat="1" hidden="1">
      <c r="A88" s="123"/>
      <c r="B88" s="122"/>
      <c r="C88" s="122"/>
      <c r="D88" s="122"/>
      <c r="E88" s="122" t="str">
        <f t="shared" si="6"/>
        <v xml:space="preserve"> </v>
      </c>
      <c r="F88" s="122"/>
      <c r="G88" s="644"/>
      <c r="H88" s="644"/>
      <c r="I88" s="122"/>
      <c r="J88" s="123"/>
      <c r="K88" s="123"/>
      <c r="L88" s="124"/>
      <c r="M88" s="647">
        <f t="shared" si="8"/>
        <v>0</v>
      </c>
      <c r="N88" s="291">
        <f t="shared" si="9"/>
        <v>0</v>
      </c>
      <c r="O88" s="291">
        <f t="shared" si="7"/>
        <v>179</v>
      </c>
      <c r="P88" s="291"/>
      <c r="Q88" s="291"/>
      <c r="R88" s="291"/>
      <c r="S88" s="291"/>
      <c r="T88" s="291"/>
      <c r="U88" s="291"/>
      <c r="V88" s="255"/>
      <c r="W88" s="255"/>
    </row>
    <row r="89" spans="1:23" s="125" customFormat="1" hidden="1">
      <c r="A89" s="123"/>
      <c r="B89" s="122"/>
      <c r="C89" s="122"/>
      <c r="D89" s="122"/>
      <c r="E89" s="122" t="str">
        <f t="shared" si="6"/>
        <v xml:space="preserve"> </v>
      </c>
      <c r="F89" s="122"/>
      <c r="G89" s="644"/>
      <c r="H89" s="644"/>
      <c r="I89" s="122"/>
      <c r="J89" s="123"/>
      <c r="K89" s="123"/>
      <c r="L89" s="124"/>
      <c r="M89" s="647">
        <f t="shared" si="8"/>
        <v>0</v>
      </c>
      <c r="N89" s="291">
        <f t="shared" si="9"/>
        <v>0</v>
      </c>
      <c r="O89" s="291">
        <f t="shared" si="7"/>
        <v>180</v>
      </c>
      <c r="P89" s="291"/>
      <c r="Q89" s="291"/>
      <c r="R89" s="291"/>
      <c r="S89" s="291"/>
      <c r="T89" s="291"/>
      <c r="U89" s="291"/>
      <c r="V89" s="255"/>
      <c r="W89" s="255"/>
    </row>
    <row r="90" spans="1:23" s="125" customFormat="1" hidden="1">
      <c r="A90" s="123"/>
      <c r="B90" s="122"/>
      <c r="C90" s="122"/>
      <c r="D90" s="122"/>
      <c r="E90" s="122" t="str">
        <f t="shared" si="6"/>
        <v xml:space="preserve"> </v>
      </c>
      <c r="F90" s="122"/>
      <c r="G90" s="644"/>
      <c r="H90" s="644"/>
      <c r="I90" s="122"/>
      <c r="J90" s="123"/>
      <c r="K90" s="123"/>
      <c r="L90" s="124"/>
      <c r="M90" s="647">
        <f t="shared" si="8"/>
        <v>0</v>
      </c>
      <c r="N90" s="291">
        <f t="shared" si="9"/>
        <v>0</v>
      </c>
      <c r="O90" s="291">
        <f t="shared" ref="O90:O108" si="10">ROW()+91</f>
        <v>181</v>
      </c>
      <c r="P90" s="291"/>
      <c r="Q90" s="291"/>
      <c r="R90" s="291"/>
      <c r="S90" s="291"/>
      <c r="T90" s="291"/>
      <c r="U90" s="291"/>
      <c r="V90" s="255"/>
      <c r="W90" s="255"/>
    </row>
    <row r="91" spans="1:23" s="125" customFormat="1" hidden="1">
      <c r="A91" s="123"/>
      <c r="B91" s="122"/>
      <c r="C91" s="122"/>
      <c r="D91" s="122"/>
      <c r="E91" s="122" t="str">
        <f t="shared" si="6"/>
        <v xml:space="preserve"> </v>
      </c>
      <c r="F91" s="122"/>
      <c r="G91" s="644"/>
      <c r="H91" s="644"/>
      <c r="I91" s="122"/>
      <c r="J91" s="123"/>
      <c r="K91" s="123"/>
      <c r="L91" s="124"/>
      <c r="M91" s="647">
        <f t="shared" si="8"/>
        <v>0</v>
      </c>
      <c r="N91" s="291">
        <f t="shared" si="9"/>
        <v>0</v>
      </c>
      <c r="O91" s="291">
        <f t="shared" si="10"/>
        <v>182</v>
      </c>
      <c r="P91" s="291"/>
      <c r="Q91" s="291"/>
      <c r="R91" s="291"/>
      <c r="S91" s="291"/>
      <c r="T91" s="291"/>
      <c r="U91" s="291"/>
      <c r="V91" s="255"/>
      <c r="W91" s="255"/>
    </row>
    <row r="92" spans="1:23" s="125" customFormat="1" hidden="1">
      <c r="A92" s="123"/>
      <c r="B92" s="122"/>
      <c r="C92" s="122"/>
      <c r="D92" s="122"/>
      <c r="E92" s="122" t="str">
        <f t="shared" si="6"/>
        <v xml:space="preserve"> </v>
      </c>
      <c r="F92" s="122"/>
      <c r="G92" s="644"/>
      <c r="H92" s="644"/>
      <c r="I92" s="122"/>
      <c r="J92" s="123"/>
      <c r="K92" s="123"/>
      <c r="L92" s="124"/>
      <c r="M92" s="647">
        <f t="shared" si="8"/>
        <v>0</v>
      </c>
      <c r="N92" s="291">
        <f t="shared" si="9"/>
        <v>0</v>
      </c>
      <c r="O92" s="291">
        <f t="shared" si="10"/>
        <v>183</v>
      </c>
      <c r="P92" s="291"/>
      <c r="Q92" s="291"/>
      <c r="R92" s="291"/>
      <c r="S92" s="291"/>
      <c r="T92" s="291"/>
      <c r="U92" s="291"/>
      <c r="V92" s="255"/>
      <c r="W92" s="255"/>
    </row>
    <row r="93" spans="1:23" s="125" customFormat="1" hidden="1">
      <c r="A93" s="123"/>
      <c r="B93" s="122"/>
      <c r="C93" s="122"/>
      <c r="D93" s="122"/>
      <c r="E93" s="122" t="str">
        <f t="shared" si="6"/>
        <v xml:space="preserve"> </v>
      </c>
      <c r="F93" s="122"/>
      <c r="G93" s="644"/>
      <c r="H93" s="644"/>
      <c r="I93" s="122"/>
      <c r="J93" s="123"/>
      <c r="K93" s="123"/>
      <c r="L93" s="124"/>
      <c r="M93" s="647">
        <f t="shared" si="8"/>
        <v>0</v>
      </c>
      <c r="N93" s="291">
        <f t="shared" si="9"/>
        <v>0</v>
      </c>
      <c r="O93" s="291">
        <f t="shared" si="10"/>
        <v>184</v>
      </c>
      <c r="P93" s="291"/>
      <c r="Q93" s="291"/>
      <c r="R93" s="291"/>
      <c r="S93" s="291"/>
      <c r="T93" s="291"/>
      <c r="U93" s="291"/>
      <c r="V93" s="255"/>
      <c r="W93" s="255"/>
    </row>
    <row r="94" spans="1:23" s="125" customFormat="1" hidden="1">
      <c r="A94" s="123"/>
      <c r="B94" s="122"/>
      <c r="C94" s="122"/>
      <c r="D94" s="122"/>
      <c r="E94" s="122" t="str">
        <f t="shared" si="6"/>
        <v xml:space="preserve"> </v>
      </c>
      <c r="F94" s="122"/>
      <c r="G94" s="644"/>
      <c r="H94" s="644"/>
      <c r="I94" s="122"/>
      <c r="J94" s="123"/>
      <c r="K94" s="123"/>
      <c r="L94" s="124"/>
      <c r="M94" s="647">
        <f t="shared" si="8"/>
        <v>0</v>
      </c>
      <c r="N94" s="291">
        <f t="shared" si="9"/>
        <v>0</v>
      </c>
      <c r="O94" s="291">
        <f t="shared" si="10"/>
        <v>185</v>
      </c>
      <c r="P94" s="291"/>
      <c r="Q94" s="291"/>
      <c r="R94" s="291"/>
      <c r="S94" s="291"/>
      <c r="T94" s="291"/>
      <c r="U94" s="291"/>
      <c r="V94" s="255"/>
      <c r="W94" s="255"/>
    </row>
    <row r="95" spans="1:23" s="125" customFormat="1" hidden="1">
      <c r="A95" s="123"/>
      <c r="B95" s="122"/>
      <c r="C95" s="122"/>
      <c r="D95" s="122"/>
      <c r="E95" s="122" t="str">
        <f t="shared" si="6"/>
        <v xml:space="preserve"> </v>
      </c>
      <c r="F95" s="122"/>
      <c r="G95" s="644"/>
      <c r="H95" s="644"/>
      <c r="I95" s="122"/>
      <c r="J95" s="123"/>
      <c r="K95" s="123"/>
      <c r="L95" s="124"/>
      <c r="M95" s="647">
        <f t="shared" si="8"/>
        <v>0</v>
      </c>
      <c r="N95" s="291">
        <f t="shared" si="9"/>
        <v>0</v>
      </c>
      <c r="O95" s="291">
        <f t="shared" si="10"/>
        <v>186</v>
      </c>
      <c r="P95" s="291"/>
      <c r="Q95" s="291"/>
      <c r="R95" s="291"/>
      <c r="S95" s="291"/>
      <c r="T95" s="291"/>
      <c r="U95" s="291"/>
      <c r="V95" s="255"/>
      <c r="W95" s="255"/>
    </row>
    <row r="96" spans="1:23" s="125" customFormat="1" hidden="1">
      <c r="A96" s="123"/>
      <c r="B96" s="122"/>
      <c r="C96" s="122"/>
      <c r="D96" s="122"/>
      <c r="E96" s="122" t="str">
        <f t="shared" si="6"/>
        <v xml:space="preserve"> </v>
      </c>
      <c r="F96" s="122"/>
      <c r="G96" s="644"/>
      <c r="H96" s="644"/>
      <c r="I96" s="122"/>
      <c r="J96" s="123"/>
      <c r="K96" s="123"/>
      <c r="L96" s="124"/>
      <c r="M96" s="647">
        <f t="shared" si="8"/>
        <v>0</v>
      </c>
      <c r="N96" s="291">
        <f t="shared" si="9"/>
        <v>0</v>
      </c>
      <c r="O96" s="291">
        <f t="shared" si="10"/>
        <v>187</v>
      </c>
      <c r="P96" s="291"/>
      <c r="Q96" s="291"/>
      <c r="R96" s="291"/>
      <c r="S96" s="291"/>
      <c r="T96" s="291"/>
      <c r="U96" s="291"/>
      <c r="V96" s="255"/>
      <c r="W96" s="255"/>
    </row>
    <row r="97" spans="1:23" s="125" customFormat="1" hidden="1">
      <c r="A97" s="123"/>
      <c r="B97" s="122"/>
      <c r="C97" s="122"/>
      <c r="D97" s="122"/>
      <c r="E97" s="122" t="str">
        <f t="shared" si="6"/>
        <v xml:space="preserve"> </v>
      </c>
      <c r="F97" s="122"/>
      <c r="G97" s="644"/>
      <c r="H97" s="644"/>
      <c r="I97" s="122"/>
      <c r="J97" s="123"/>
      <c r="K97" s="123"/>
      <c r="L97" s="124"/>
      <c r="M97" s="647">
        <f t="shared" si="8"/>
        <v>0</v>
      </c>
      <c r="N97" s="291">
        <f t="shared" si="9"/>
        <v>0</v>
      </c>
      <c r="O97" s="291">
        <f t="shared" si="10"/>
        <v>188</v>
      </c>
      <c r="P97" s="291"/>
      <c r="Q97" s="291"/>
      <c r="R97" s="291"/>
      <c r="S97" s="291"/>
      <c r="T97" s="291"/>
      <c r="U97" s="291"/>
      <c r="V97" s="255"/>
      <c r="W97" s="255"/>
    </row>
    <row r="98" spans="1:23" s="125" customFormat="1" hidden="1">
      <c r="A98" s="123"/>
      <c r="B98" s="122"/>
      <c r="C98" s="122"/>
      <c r="D98" s="122"/>
      <c r="E98" s="122" t="str">
        <f t="shared" si="6"/>
        <v xml:space="preserve"> </v>
      </c>
      <c r="F98" s="122"/>
      <c r="G98" s="644"/>
      <c r="H98" s="644"/>
      <c r="I98" s="122"/>
      <c r="J98" s="123"/>
      <c r="K98" s="123"/>
      <c r="L98" s="124"/>
      <c r="M98" s="647">
        <f t="shared" si="8"/>
        <v>0</v>
      </c>
      <c r="N98" s="291">
        <f t="shared" si="9"/>
        <v>0</v>
      </c>
      <c r="O98" s="291">
        <f t="shared" si="10"/>
        <v>189</v>
      </c>
      <c r="P98" s="291"/>
      <c r="Q98" s="291"/>
      <c r="R98" s="291"/>
      <c r="S98" s="291"/>
      <c r="T98" s="291"/>
      <c r="U98" s="291"/>
      <c r="V98" s="255"/>
      <c r="W98" s="255"/>
    </row>
    <row r="99" spans="1:23" s="125" customFormat="1" hidden="1">
      <c r="A99" s="123"/>
      <c r="B99" s="122"/>
      <c r="C99" s="122"/>
      <c r="D99" s="122"/>
      <c r="E99" s="122" t="str">
        <f t="shared" si="6"/>
        <v xml:space="preserve"> </v>
      </c>
      <c r="F99" s="122"/>
      <c r="G99" s="644"/>
      <c r="H99" s="644"/>
      <c r="I99" s="122"/>
      <c r="J99" s="123"/>
      <c r="K99" s="123"/>
      <c r="L99" s="124"/>
      <c r="M99" s="647">
        <f t="shared" si="8"/>
        <v>0</v>
      </c>
      <c r="N99" s="291">
        <f t="shared" si="9"/>
        <v>0</v>
      </c>
      <c r="O99" s="291">
        <f t="shared" si="10"/>
        <v>190</v>
      </c>
      <c r="P99" s="291"/>
      <c r="Q99" s="291"/>
      <c r="R99" s="291"/>
      <c r="S99" s="291"/>
      <c r="T99" s="291"/>
      <c r="U99" s="291"/>
      <c r="V99" s="255"/>
      <c r="W99" s="255"/>
    </row>
    <row r="100" spans="1:23" s="125" customFormat="1" hidden="1">
      <c r="A100" s="123"/>
      <c r="B100" s="122"/>
      <c r="C100" s="122"/>
      <c r="D100" s="122"/>
      <c r="E100" s="122" t="str">
        <f t="shared" si="6"/>
        <v xml:space="preserve"> </v>
      </c>
      <c r="F100" s="122"/>
      <c r="G100" s="644"/>
      <c r="H100" s="644"/>
      <c r="I100" s="122"/>
      <c r="J100" s="123"/>
      <c r="K100" s="123"/>
      <c r="L100" s="124"/>
      <c r="M100" s="647">
        <f t="shared" si="8"/>
        <v>0</v>
      </c>
      <c r="N100" s="291">
        <f t="shared" si="9"/>
        <v>0</v>
      </c>
      <c r="O100" s="291">
        <f t="shared" si="10"/>
        <v>191</v>
      </c>
      <c r="P100" s="291"/>
      <c r="Q100" s="291"/>
      <c r="R100" s="291"/>
      <c r="S100" s="291"/>
      <c r="T100" s="291"/>
      <c r="U100" s="291"/>
      <c r="V100" s="255"/>
      <c r="W100" s="255"/>
    </row>
    <row r="101" spans="1:23" s="125" customFormat="1" hidden="1">
      <c r="A101" s="123"/>
      <c r="B101" s="122"/>
      <c r="C101" s="122"/>
      <c r="D101" s="122"/>
      <c r="E101" s="122" t="str">
        <f t="shared" si="6"/>
        <v xml:space="preserve"> </v>
      </c>
      <c r="F101" s="122"/>
      <c r="G101" s="644"/>
      <c r="H101" s="644"/>
      <c r="I101" s="122"/>
      <c r="J101" s="123"/>
      <c r="K101" s="123"/>
      <c r="L101" s="124"/>
      <c r="M101" s="647">
        <f t="shared" si="8"/>
        <v>0</v>
      </c>
      <c r="N101" s="291">
        <f t="shared" si="9"/>
        <v>0</v>
      </c>
      <c r="O101" s="291">
        <f t="shared" si="10"/>
        <v>192</v>
      </c>
      <c r="P101" s="291"/>
      <c r="Q101" s="291"/>
      <c r="R101" s="291"/>
      <c r="S101" s="291"/>
      <c r="T101" s="291"/>
      <c r="U101" s="291"/>
      <c r="V101" s="255"/>
      <c r="W101" s="255"/>
    </row>
    <row r="102" spans="1:23" s="125" customFormat="1" hidden="1">
      <c r="A102" s="123"/>
      <c r="B102" s="122"/>
      <c r="C102" s="122"/>
      <c r="D102" s="122"/>
      <c r="E102" s="122" t="str">
        <f t="shared" si="6"/>
        <v xml:space="preserve"> </v>
      </c>
      <c r="F102" s="122"/>
      <c r="G102" s="644"/>
      <c r="H102" s="644"/>
      <c r="I102" s="122"/>
      <c r="J102" s="123"/>
      <c r="K102" s="123"/>
      <c r="L102" s="124"/>
      <c r="M102" s="647">
        <f t="shared" si="8"/>
        <v>0</v>
      </c>
      <c r="N102" s="291">
        <f t="shared" si="9"/>
        <v>0</v>
      </c>
      <c r="O102" s="291">
        <f t="shared" si="10"/>
        <v>193</v>
      </c>
      <c r="P102" s="291"/>
      <c r="Q102" s="291"/>
      <c r="R102" s="291"/>
      <c r="S102" s="291"/>
      <c r="T102" s="291"/>
      <c r="U102" s="291"/>
      <c r="V102" s="255"/>
      <c r="W102" s="255"/>
    </row>
    <row r="103" spans="1:23" s="125" customFormat="1" hidden="1">
      <c r="A103" s="123"/>
      <c r="B103" s="122"/>
      <c r="C103" s="122"/>
      <c r="D103" s="122"/>
      <c r="E103" s="122" t="str">
        <f t="shared" si="6"/>
        <v xml:space="preserve"> </v>
      </c>
      <c r="F103" s="122"/>
      <c r="G103" s="644"/>
      <c r="H103" s="644"/>
      <c r="I103" s="122"/>
      <c r="J103" s="123"/>
      <c r="K103" s="123"/>
      <c r="L103" s="124"/>
      <c r="M103" s="647">
        <f t="shared" si="8"/>
        <v>0</v>
      </c>
      <c r="N103" s="291">
        <f t="shared" si="9"/>
        <v>0</v>
      </c>
      <c r="O103" s="291">
        <f t="shared" si="10"/>
        <v>194</v>
      </c>
      <c r="P103" s="291"/>
      <c r="Q103" s="291"/>
      <c r="R103" s="291"/>
      <c r="S103" s="291"/>
      <c r="T103" s="291"/>
      <c r="U103" s="291"/>
      <c r="V103" s="255"/>
      <c r="W103" s="255"/>
    </row>
    <row r="104" spans="1:23" s="125" customFormat="1" hidden="1">
      <c r="A104" s="123"/>
      <c r="B104" s="122"/>
      <c r="C104" s="122"/>
      <c r="D104" s="122"/>
      <c r="E104" s="122" t="str">
        <f t="shared" si="6"/>
        <v xml:space="preserve"> </v>
      </c>
      <c r="F104" s="122"/>
      <c r="G104" s="644"/>
      <c r="H104" s="644"/>
      <c r="I104" s="122"/>
      <c r="J104" s="123"/>
      <c r="K104" s="123"/>
      <c r="L104" s="124"/>
      <c r="M104" s="647">
        <f t="shared" si="8"/>
        <v>0</v>
      </c>
      <c r="N104" s="291">
        <f t="shared" si="9"/>
        <v>0</v>
      </c>
      <c r="O104" s="291">
        <f t="shared" si="10"/>
        <v>195</v>
      </c>
      <c r="P104" s="291"/>
      <c r="Q104" s="291"/>
      <c r="R104" s="291"/>
      <c r="S104" s="291"/>
      <c r="T104" s="291"/>
      <c r="U104" s="291"/>
      <c r="V104" s="255"/>
      <c r="W104" s="255"/>
    </row>
    <row r="105" spans="1:23" s="125" customFormat="1" hidden="1">
      <c r="A105" s="123"/>
      <c r="B105" s="122"/>
      <c r="C105" s="122"/>
      <c r="D105" s="122"/>
      <c r="E105" s="122" t="str">
        <f t="shared" si="6"/>
        <v xml:space="preserve"> </v>
      </c>
      <c r="F105" s="122"/>
      <c r="G105" s="644"/>
      <c r="H105" s="644"/>
      <c r="I105" s="122"/>
      <c r="J105" s="123"/>
      <c r="K105" s="123"/>
      <c r="L105" s="124"/>
      <c r="M105" s="647">
        <f t="shared" si="8"/>
        <v>0</v>
      </c>
      <c r="N105" s="291">
        <f t="shared" si="9"/>
        <v>0</v>
      </c>
      <c r="O105" s="291">
        <f t="shared" si="10"/>
        <v>196</v>
      </c>
      <c r="P105" s="291"/>
      <c r="Q105" s="291"/>
      <c r="R105" s="291"/>
      <c r="S105" s="291"/>
      <c r="T105" s="291"/>
      <c r="U105" s="291"/>
      <c r="V105" s="255"/>
      <c r="W105" s="255"/>
    </row>
    <row r="106" spans="1:23" s="125" customFormat="1" hidden="1">
      <c r="A106" s="123"/>
      <c r="B106" s="122"/>
      <c r="C106" s="122"/>
      <c r="D106" s="122"/>
      <c r="E106" s="122" t="str">
        <f t="shared" si="6"/>
        <v xml:space="preserve"> </v>
      </c>
      <c r="F106" s="122"/>
      <c r="G106" s="644"/>
      <c r="H106" s="644"/>
      <c r="I106" s="122"/>
      <c r="J106" s="123"/>
      <c r="K106" s="123"/>
      <c r="L106" s="124"/>
      <c r="M106" s="647">
        <f t="shared" si="8"/>
        <v>0</v>
      </c>
      <c r="N106" s="291">
        <f t="shared" si="9"/>
        <v>0</v>
      </c>
      <c r="O106" s="291">
        <f t="shared" si="10"/>
        <v>197</v>
      </c>
      <c r="P106" s="291"/>
      <c r="Q106" s="291"/>
      <c r="R106" s="291"/>
      <c r="S106" s="291"/>
      <c r="T106" s="291"/>
      <c r="U106" s="291"/>
      <c r="V106" s="255"/>
      <c r="W106" s="255"/>
    </row>
    <row r="107" spans="1:23" s="125" customFormat="1" hidden="1">
      <c r="A107" s="123"/>
      <c r="B107" s="122"/>
      <c r="C107" s="122"/>
      <c r="D107" s="122"/>
      <c r="E107" s="122" t="str">
        <f t="shared" si="6"/>
        <v xml:space="preserve"> </v>
      </c>
      <c r="F107" s="122"/>
      <c r="G107" s="644"/>
      <c r="H107" s="644"/>
      <c r="I107" s="122"/>
      <c r="J107" s="123"/>
      <c r="K107" s="123"/>
      <c r="L107" s="124"/>
      <c r="M107" s="647">
        <f t="shared" si="8"/>
        <v>0</v>
      </c>
      <c r="N107" s="291">
        <f t="shared" si="9"/>
        <v>0</v>
      </c>
      <c r="O107" s="291">
        <f t="shared" si="10"/>
        <v>198</v>
      </c>
      <c r="P107" s="291"/>
      <c r="Q107" s="291"/>
      <c r="R107" s="291"/>
      <c r="S107" s="291"/>
      <c r="T107" s="291"/>
      <c r="U107" s="291"/>
      <c r="V107" s="255"/>
      <c r="W107" s="255"/>
    </row>
    <row r="108" spans="1:23" s="125" customFormat="1" hidden="1">
      <c r="A108" s="123"/>
      <c r="B108" s="122"/>
      <c r="C108" s="122"/>
      <c r="D108" s="122"/>
      <c r="E108" s="122" t="str">
        <f t="shared" si="6"/>
        <v xml:space="preserve"> </v>
      </c>
      <c r="F108" s="122"/>
      <c r="G108" s="644"/>
      <c r="H108" s="644"/>
      <c r="I108" s="122"/>
      <c r="J108" s="123"/>
      <c r="K108" s="123"/>
      <c r="L108" s="124"/>
      <c r="M108" s="647">
        <f t="shared" si="8"/>
        <v>0</v>
      </c>
      <c r="N108" s="291">
        <f t="shared" si="9"/>
        <v>0</v>
      </c>
      <c r="O108" s="291">
        <f t="shared" si="10"/>
        <v>199</v>
      </c>
      <c r="P108" s="291"/>
      <c r="Q108" s="291"/>
      <c r="R108" s="291"/>
      <c r="S108" s="291"/>
      <c r="T108" s="291"/>
      <c r="U108" s="291"/>
      <c r="V108" s="255"/>
      <c r="W108" s="255"/>
    </row>
    <row r="109" spans="1:23" s="121" customFormat="1">
      <c r="A109" s="292" t="s">
        <v>644</v>
      </c>
      <c r="B109" s="293"/>
      <c r="C109" s="293"/>
      <c r="D109" s="293"/>
      <c r="E109" s="293"/>
      <c r="F109" s="293"/>
      <c r="G109" s="293"/>
      <c r="H109" s="293"/>
      <c r="I109" s="293"/>
      <c r="J109" s="294"/>
      <c r="K109" s="294">
        <f t="shared" ref="K109:N109" si="11">SUM(K$9:K$108)</f>
        <v>14936</v>
      </c>
      <c r="L109" s="295">
        <f t="shared" si="11"/>
        <v>23261</v>
      </c>
      <c r="M109" s="743">
        <f t="shared" si="11"/>
        <v>0</v>
      </c>
      <c r="N109" s="743">
        <f t="shared" si="11"/>
        <v>7257</v>
      </c>
      <c r="O109" s="213" t="s">
        <v>1166</v>
      </c>
      <c r="P109" s="213"/>
      <c r="Q109" s="213"/>
      <c r="R109" s="213"/>
      <c r="S109" s="213"/>
      <c r="T109" s="213"/>
      <c r="U109" s="213"/>
      <c r="V109" s="296"/>
      <c r="W109" s="296"/>
    </row>
  </sheetData>
  <sheetProtection password="DABD" sheet="1" objects="1" scenarios="1" formatColumns="0" formatRows="0" autoFilter="0"/>
  <mergeCells count="1">
    <mergeCell ref="B6:L6"/>
  </mergeCells>
  <conditionalFormatting sqref="E9:E57">
    <cfRule type="expression" dxfId="35" priority="2">
      <formula>B9&lt;&gt;"Other"</formula>
    </cfRule>
  </conditionalFormatting>
  <conditionalFormatting sqref="E58:E108">
    <cfRule type="expression" dxfId="34" priority="1">
      <formula>B58&lt;&gt;"Other"</formula>
    </cfRule>
  </conditionalFormatting>
  <dataValidations count="3">
    <dataValidation type="decimal" allowBlank="1" showInputMessage="1" showErrorMessage="1" sqref="K9:M108">
      <formula1>-9999999999999990000</formula1>
      <formula2>99999999999999900000</formula2>
    </dataValidation>
    <dataValidation showInputMessage="1" showErrorMessage="1" sqref="A9:A108"/>
    <dataValidation type="decimal" allowBlank="1" showInputMessage="1" showErrorMessage="1" sqref="G9:H108">
      <formula1>0</formula1>
      <formula2>1</formula2>
    </dataValidation>
  </dataValidations>
  <pageMargins left="0.7" right="0.7" top="0.75" bottom="0.75" header="0.3" footer="0.3"/>
  <pageSetup paperSize="9" scale="62"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IF(C9=2,a!$E$2:$E$7,IF(C9=3,a!$E$12:$E$17,IF(C9=4,a!$E$22:$E$27,IF(C9=5,a!$E$31:$E$33,IF(C9=6,a!$E$38:$E$41,IF(C9=7,a!$E$46:$E$49,IF(C9=8,a!$E$56:$E$59,IF(C9=1,#REF!))))))))</xm:f>
          </x14:formula1>
          <xm:sqref>D9:D108</xm:sqref>
        </x14:dataValidation>
        <x14:dataValidation type="list" allowBlank="1" showInputMessage="1" showErrorMessage="1">
          <x14:formula1>
            <xm:f>a!$M$2:$M$9</xm:f>
          </x14:formula1>
          <xm:sqref>I9:I10</xm:sqref>
        </x14:dataValidation>
        <x14:dataValidation type="list" allowBlank="1" showInputMessage="1" showErrorMessage="1">
          <x14:formula1>
            <xm:f>Sheet2!$A$1:$A$8</xm:f>
          </x14:formula1>
          <xm:sqref>B9:B108</xm:sqref>
        </x14:dataValidation>
        <x14:dataValidation type="list" allowBlank="1" showInputMessage="1" showErrorMessage="1">
          <x14:formula1>
            <xm:f>a!$K$14:$K$17</xm:f>
          </x14:formula1>
          <xm:sqref>J9:J108</xm:sqref>
        </x14:dataValidation>
        <x14:dataValidation type="list" allowBlank="1" showInputMessage="1" showErrorMessage="1">
          <x14:formula1>
            <xm:f>a!$K$2:$K$6</xm:f>
          </x14:formula1>
          <xm:sqref>F9:F108</xm:sqref>
        </x14:dataValidation>
        <x14:dataValidation type="list" allowBlank="1" showInputMessage="1" showErrorMessage="1">
          <x14:formula1>
            <xm:f>a!$M$2:$M$10</xm:f>
          </x14:formula1>
          <xm:sqref>I11:I108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19"/>
  <sheetViews>
    <sheetView showGridLines="0" zoomScaleNormal="100" workbookViewId="0">
      <pane xSplit="1" ySplit="9" topLeftCell="C10" activePane="bottomRight" state="frozen"/>
      <selection activeCell="T10" sqref="T10"/>
      <selection pane="topRight" activeCell="T10" sqref="T10"/>
      <selection pane="bottomLeft" activeCell="T10" sqref="T10"/>
      <selection pane="bottomRight" activeCell="F49" sqref="F49"/>
    </sheetView>
  </sheetViews>
  <sheetFormatPr defaultColWidth="9.109375" defaultRowHeight="14.4"/>
  <cols>
    <col min="1" max="1" width="40.109375" style="4" customWidth="1"/>
    <col min="2" max="3" width="34.44140625" style="4" customWidth="1"/>
    <col min="4" max="4" width="25.33203125" style="4" bestFit="1" customWidth="1"/>
    <col min="5" max="5" width="25.33203125" style="4" hidden="1" customWidth="1"/>
    <col min="6" max="7" width="11.6640625" style="4" customWidth="1"/>
    <col min="8" max="8" width="12.6640625" style="4" bestFit="1" customWidth="1"/>
    <col min="9" max="10" width="37.5546875" style="4" customWidth="1"/>
    <col min="11" max="11" width="25.33203125" style="4" hidden="1" customWidth="1"/>
    <col min="12" max="12" width="25.33203125" style="4" customWidth="1"/>
    <col min="13" max="13" width="36.6640625" style="4" customWidth="1"/>
    <col min="14" max="14" width="25.33203125" style="4" customWidth="1"/>
    <col min="15" max="17" width="12.6640625" style="4" customWidth="1"/>
    <col min="18" max="19" width="37.5546875" style="4" customWidth="1"/>
    <col min="20" max="16384" width="9.109375" style="4"/>
  </cols>
  <sheetData>
    <row r="1" spans="1:19" ht="17.7">
      <c r="A1" s="142" t="s">
        <v>985</v>
      </c>
      <c r="B1" s="142"/>
      <c r="C1" s="142"/>
      <c r="D1" s="138"/>
      <c r="E1" s="138"/>
      <c r="F1" s="138"/>
      <c r="G1" s="138"/>
      <c r="H1" s="138"/>
      <c r="I1" s="138"/>
      <c r="J1" s="138"/>
      <c r="K1" s="138"/>
      <c r="L1" s="138"/>
      <c r="M1" s="138"/>
      <c r="N1" s="138"/>
      <c r="O1" s="138"/>
      <c r="P1" s="138"/>
      <c r="Q1" s="138"/>
      <c r="R1" s="138"/>
      <c r="S1" s="138"/>
    </row>
    <row r="2" spans="1:19" ht="15.05" thickBot="1">
      <c r="A2" s="138"/>
      <c r="B2" s="138"/>
      <c r="C2" s="811" t="s">
        <v>1532</v>
      </c>
      <c r="D2" s="812"/>
      <c r="E2" s="812"/>
      <c r="F2" s="812"/>
      <c r="G2" s="812"/>
      <c r="H2" s="812"/>
      <c r="I2" s="813"/>
      <c r="J2" s="138"/>
      <c r="K2" s="138"/>
      <c r="L2" s="138"/>
      <c r="M2" s="138"/>
      <c r="N2" s="138"/>
      <c r="O2" s="138"/>
      <c r="P2" s="138"/>
      <c r="Q2" s="138"/>
      <c r="R2" s="138"/>
      <c r="S2" s="138"/>
    </row>
    <row r="3" spans="1:19" ht="18.350000000000001" thickBot="1">
      <c r="A3" s="133" t="str">
        <f>'1. HWB Funding Sources'!A4</f>
        <v>Leicester</v>
      </c>
      <c r="B3" s="138"/>
      <c r="C3" s="814"/>
      <c r="D3" s="815"/>
      <c r="E3" s="815"/>
      <c r="F3" s="815"/>
      <c r="G3" s="815"/>
      <c r="H3" s="815"/>
      <c r="I3" s="816"/>
      <c r="J3" s="138"/>
      <c r="K3" s="138"/>
      <c r="L3" s="138"/>
      <c r="M3" s="138"/>
      <c r="N3" s="138"/>
      <c r="O3" s="138"/>
      <c r="P3" s="138"/>
      <c r="Q3" s="138"/>
      <c r="R3" s="138"/>
      <c r="S3" s="138"/>
    </row>
    <row r="4" spans="1:19" ht="17.7">
      <c r="A4" s="282"/>
      <c r="B4" s="282"/>
      <c r="C4" s="814"/>
      <c r="D4" s="815"/>
      <c r="E4" s="815"/>
      <c r="F4" s="815"/>
      <c r="G4" s="815"/>
      <c r="H4" s="815"/>
      <c r="I4" s="816"/>
      <c r="J4" s="138"/>
      <c r="K4" s="138"/>
      <c r="L4" s="138"/>
      <c r="M4" s="138"/>
      <c r="N4" s="138"/>
      <c r="O4" s="138"/>
      <c r="P4" s="138"/>
      <c r="Q4" s="138"/>
      <c r="R4" s="138"/>
      <c r="S4" s="138"/>
    </row>
    <row r="5" spans="1:19" ht="90.85" customHeight="1">
      <c r="A5" s="142" t="s">
        <v>642</v>
      </c>
      <c r="B5" s="142"/>
      <c r="C5" s="817"/>
      <c r="D5" s="818"/>
      <c r="E5" s="818"/>
      <c r="F5" s="818"/>
      <c r="G5" s="818"/>
      <c r="H5" s="818"/>
      <c r="I5" s="819"/>
      <c r="J5" s="138"/>
      <c r="K5" s="138"/>
      <c r="L5" s="138"/>
      <c r="M5" s="138"/>
      <c r="N5" s="138"/>
      <c r="O5" s="138"/>
      <c r="P5" s="138"/>
      <c r="Q5" s="138"/>
      <c r="R5" s="138"/>
      <c r="S5" s="138"/>
    </row>
    <row r="6" spans="1:19" ht="3.8" customHeight="1">
      <c r="A6" s="282"/>
      <c r="B6" s="282"/>
      <c r="C6" s="282"/>
      <c r="D6" s="138"/>
      <c r="E6" s="138"/>
      <c r="F6" s="138"/>
      <c r="G6" s="138"/>
      <c r="H6" s="138"/>
      <c r="I6" s="138"/>
      <c r="J6" s="138"/>
      <c r="K6" s="138"/>
      <c r="L6" s="138"/>
      <c r="M6" s="138"/>
      <c r="N6" s="138"/>
      <c r="O6" s="138"/>
      <c r="P6" s="138"/>
      <c r="Q6" s="138"/>
      <c r="R6" s="138"/>
      <c r="S6" s="138"/>
    </row>
    <row r="7" spans="1:19">
      <c r="A7" s="631" t="s">
        <v>962</v>
      </c>
      <c r="B7" s="631"/>
      <c r="C7" s="631"/>
      <c r="D7" s="138"/>
      <c r="E7" s="138"/>
      <c r="F7" s="138"/>
      <c r="G7" s="138"/>
      <c r="H7" s="138"/>
      <c r="I7" s="138"/>
      <c r="J7" s="138"/>
      <c r="K7" s="138"/>
      <c r="L7" s="138"/>
      <c r="M7" s="138"/>
      <c r="N7" s="138"/>
      <c r="O7" s="138"/>
      <c r="P7" s="138"/>
      <c r="Q7" s="138"/>
      <c r="R7" s="138"/>
      <c r="S7" s="138"/>
    </row>
    <row r="8" spans="1:19">
      <c r="A8" s="138"/>
      <c r="B8" s="138"/>
      <c r="C8" s="138"/>
      <c r="D8" s="808" t="s">
        <v>642</v>
      </c>
      <c r="E8" s="809"/>
      <c r="F8" s="809"/>
      <c r="G8" s="809"/>
      <c r="H8" s="809"/>
      <c r="I8" s="809"/>
      <c r="J8" s="810"/>
      <c r="K8" s="138"/>
      <c r="L8" s="138"/>
      <c r="M8" s="138"/>
      <c r="N8" s="138"/>
      <c r="O8" s="138"/>
      <c r="P8" s="138"/>
      <c r="Q8" s="138"/>
      <c r="R8" s="138"/>
      <c r="S8" s="138"/>
    </row>
    <row r="9" spans="1:19" ht="43.2">
      <c r="A9" s="285" t="s">
        <v>973</v>
      </c>
      <c r="B9" s="285" t="s">
        <v>1516</v>
      </c>
      <c r="C9" s="285" t="s">
        <v>637</v>
      </c>
      <c r="D9" s="297" t="s">
        <v>972</v>
      </c>
      <c r="E9" s="285" t="s">
        <v>1147</v>
      </c>
      <c r="F9" s="642" t="s">
        <v>977</v>
      </c>
      <c r="G9" s="642" t="s">
        <v>1518</v>
      </c>
      <c r="H9" s="642" t="s">
        <v>1517</v>
      </c>
      <c r="I9" s="285" t="s">
        <v>978</v>
      </c>
      <c r="J9" s="298" t="s">
        <v>979</v>
      </c>
      <c r="K9" s="138" t="s">
        <v>1162</v>
      </c>
      <c r="L9" s="138"/>
      <c r="M9" s="138"/>
      <c r="N9" s="138"/>
      <c r="O9" s="138"/>
      <c r="P9" s="138"/>
      <c r="Q9" s="138"/>
      <c r="R9" s="138"/>
      <c r="S9" s="138"/>
    </row>
    <row r="10" spans="1:19" hidden="1">
      <c r="A10" s="289"/>
      <c r="B10" s="289"/>
      <c r="C10" s="289"/>
      <c r="D10" s="300"/>
      <c r="E10" s="289"/>
      <c r="F10" s="289"/>
      <c r="G10" s="289"/>
      <c r="H10" s="289"/>
      <c r="I10" s="289"/>
      <c r="J10" s="301"/>
      <c r="K10" s="138" t="s">
        <v>1169</v>
      </c>
      <c r="L10" s="138"/>
      <c r="M10" s="138"/>
      <c r="N10" s="138"/>
      <c r="O10" s="138"/>
      <c r="P10" s="138"/>
      <c r="Q10" s="138"/>
      <c r="R10" s="138"/>
      <c r="S10" s="138"/>
    </row>
    <row r="11" spans="1:19" s="221" customFormat="1">
      <c r="A11" s="219" t="s">
        <v>974</v>
      </c>
      <c r="B11" s="122" t="str">
        <f t="shared" ref="B11:B42" si="0">IF($A11="Other","&lt;Please specify&gt;"," ")</f>
        <v xml:space="preserve"> </v>
      </c>
      <c r="C11" s="219" t="s">
        <v>1900</v>
      </c>
      <c r="D11" s="218" t="s">
        <v>15</v>
      </c>
      <c r="E11" s="219"/>
      <c r="F11" s="219">
        <v>-0.38461538461538503</v>
      </c>
      <c r="G11" s="219">
        <v>3146</v>
      </c>
      <c r="H11" s="302">
        <f t="shared" ref="H11:H42" si="1">$F11*$G11</f>
        <v>-1210.0000000000014</v>
      </c>
      <c r="I11" s="219" t="s">
        <v>1910</v>
      </c>
      <c r="J11" s="220" t="s">
        <v>1917</v>
      </c>
      <c r="K11" s="303">
        <v>100</v>
      </c>
      <c r="L11" s="303"/>
      <c r="M11" s="303"/>
      <c r="N11" s="303"/>
      <c r="O11" s="303"/>
      <c r="P11" s="303"/>
      <c r="Q11" s="303"/>
      <c r="R11" s="303"/>
      <c r="S11" s="303"/>
    </row>
    <row r="12" spans="1:19" s="221" customFormat="1">
      <c r="A12" s="219" t="s">
        <v>974</v>
      </c>
      <c r="B12" s="122" t="str">
        <f t="shared" si="0"/>
        <v xml:space="preserve"> </v>
      </c>
      <c r="C12" s="219" t="s">
        <v>1901</v>
      </c>
      <c r="D12" s="218" t="s">
        <v>15</v>
      </c>
      <c r="E12" s="219"/>
      <c r="F12" s="219">
        <v>-1.15384615384615</v>
      </c>
      <c r="G12" s="219">
        <v>3146</v>
      </c>
      <c r="H12" s="302">
        <f t="shared" si="1"/>
        <v>-3629.9999999999877</v>
      </c>
      <c r="I12" s="219" t="s">
        <v>1910</v>
      </c>
      <c r="J12" s="220" t="s">
        <v>1917</v>
      </c>
      <c r="K12" s="303">
        <v>101</v>
      </c>
      <c r="L12" s="303"/>
      <c r="M12" s="303"/>
      <c r="N12" s="303"/>
      <c r="O12" s="303"/>
      <c r="P12" s="303"/>
      <c r="Q12" s="303"/>
      <c r="R12" s="303"/>
      <c r="S12" s="303"/>
    </row>
    <row r="13" spans="1:19" s="221" customFormat="1">
      <c r="A13" s="219" t="s">
        <v>974</v>
      </c>
      <c r="B13" s="122" t="str">
        <f t="shared" si="0"/>
        <v xml:space="preserve"> </v>
      </c>
      <c r="C13" s="219" t="s">
        <v>1904</v>
      </c>
      <c r="D13" s="218" t="s">
        <v>15</v>
      </c>
      <c r="E13" s="219"/>
      <c r="F13" s="219">
        <v>-1.15384615384615</v>
      </c>
      <c r="G13" s="219">
        <v>3146</v>
      </c>
      <c r="H13" s="302">
        <f t="shared" si="1"/>
        <v>-3629.9999999999877</v>
      </c>
      <c r="I13" s="219" t="s">
        <v>1910</v>
      </c>
      <c r="J13" s="220" t="s">
        <v>1917</v>
      </c>
      <c r="K13" s="303">
        <v>102</v>
      </c>
      <c r="L13" s="303"/>
      <c r="M13" s="303"/>
      <c r="N13" s="303"/>
      <c r="O13" s="303"/>
      <c r="P13" s="303"/>
      <c r="Q13" s="303"/>
      <c r="R13" s="303"/>
      <c r="S13" s="303"/>
    </row>
    <row r="14" spans="1:19" s="221" customFormat="1">
      <c r="A14" s="219" t="s">
        <v>974</v>
      </c>
      <c r="B14" s="122" t="str">
        <f t="shared" si="0"/>
        <v xml:space="preserve"> </v>
      </c>
      <c r="C14" s="219" t="s">
        <v>1906</v>
      </c>
      <c r="D14" s="218" t="s">
        <v>15</v>
      </c>
      <c r="E14" s="219"/>
      <c r="F14" s="219">
        <v>-0.76923076923076905</v>
      </c>
      <c r="G14" s="219">
        <v>3146</v>
      </c>
      <c r="H14" s="302">
        <f t="shared" si="1"/>
        <v>-2419.9999999999995</v>
      </c>
      <c r="I14" s="219" t="s">
        <v>1910</v>
      </c>
      <c r="J14" s="220" t="s">
        <v>1917</v>
      </c>
      <c r="K14" s="303">
        <v>103</v>
      </c>
      <c r="L14" s="303"/>
      <c r="M14" s="303"/>
      <c r="N14" s="303"/>
      <c r="O14" s="303"/>
      <c r="P14" s="303"/>
      <c r="Q14" s="303"/>
      <c r="R14" s="303"/>
      <c r="S14" s="303"/>
    </row>
    <row r="15" spans="1:19" s="221" customFormat="1">
      <c r="A15" s="219" t="s">
        <v>974</v>
      </c>
      <c r="B15" s="122" t="str">
        <f t="shared" si="0"/>
        <v xml:space="preserve"> </v>
      </c>
      <c r="C15" s="219" t="s">
        <v>1907</v>
      </c>
      <c r="D15" s="218" t="s">
        <v>15</v>
      </c>
      <c r="E15" s="219"/>
      <c r="F15" s="219">
        <v>-0.76923076923076905</v>
      </c>
      <c r="G15" s="219">
        <v>3146</v>
      </c>
      <c r="H15" s="302">
        <f t="shared" si="1"/>
        <v>-2419.9999999999995</v>
      </c>
      <c r="I15" s="219" t="s">
        <v>1910</v>
      </c>
      <c r="J15" s="220" t="s">
        <v>1917</v>
      </c>
      <c r="K15" s="303">
        <v>104</v>
      </c>
      <c r="L15" s="303"/>
      <c r="M15" s="303"/>
      <c r="N15" s="303"/>
      <c r="O15" s="303"/>
      <c r="P15" s="303"/>
      <c r="Q15" s="303"/>
      <c r="R15" s="303"/>
      <c r="S15" s="303"/>
    </row>
    <row r="16" spans="1:19" s="221" customFormat="1">
      <c r="A16" s="219" t="s">
        <v>974</v>
      </c>
      <c r="B16" s="122" t="str">
        <f t="shared" si="0"/>
        <v xml:space="preserve"> </v>
      </c>
      <c r="C16" s="219" t="s">
        <v>1908</v>
      </c>
      <c r="D16" s="218" t="s">
        <v>15</v>
      </c>
      <c r="E16" s="219"/>
      <c r="F16" s="219">
        <v>-0.38461538461538503</v>
      </c>
      <c r="G16" s="219">
        <v>3146</v>
      </c>
      <c r="H16" s="302">
        <f t="shared" si="1"/>
        <v>-1210.0000000000014</v>
      </c>
      <c r="I16" s="219" t="s">
        <v>1910</v>
      </c>
      <c r="J16" s="220" t="s">
        <v>1917</v>
      </c>
      <c r="K16" s="303">
        <v>105</v>
      </c>
      <c r="L16" s="303"/>
      <c r="M16" s="303"/>
      <c r="N16" s="303"/>
      <c r="O16" s="303"/>
      <c r="P16" s="303"/>
      <c r="Q16" s="303"/>
      <c r="R16" s="303"/>
      <c r="S16" s="303"/>
    </row>
    <row r="17" spans="1:19" s="221" customFormat="1">
      <c r="A17" s="219" t="s">
        <v>974</v>
      </c>
      <c r="B17" s="122" t="str">
        <f t="shared" si="0"/>
        <v xml:space="preserve"> </v>
      </c>
      <c r="C17" s="219" t="s">
        <v>1909</v>
      </c>
      <c r="D17" s="218" t="s">
        <v>15</v>
      </c>
      <c r="E17" s="219"/>
      <c r="F17" s="219">
        <v>-0.38461538461538503</v>
      </c>
      <c r="G17" s="219">
        <v>3146</v>
      </c>
      <c r="H17" s="302">
        <f t="shared" si="1"/>
        <v>-1210.0000000000014</v>
      </c>
      <c r="I17" s="219" t="s">
        <v>1910</v>
      </c>
      <c r="J17" s="220" t="s">
        <v>1917</v>
      </c>
      <c r="K17" s="303">
        <v>106</v>
      </c>
      <c r="L17" s="303"/>
      <c r="M17" s="303"/>
      <c r="N17" s="303"/>
      <c r="O17" s="303"/>
      <c r="P17" s="303"/>
      <c r="Q17" s="303"/>
      <c r="R17" s="303"/>
      <c r="S17" s="303"/>
    </row>
    <row r="18" spans="1:19" s="221" customFormat="1">
      <c r="A18" s="219" t="s">
        <v>975</v>
      </c>
      <c r="B18" s="122" t="str">
        <f t="shared" si="0"/>
        <v xml:space="preserve"> </v>
      </c>
      <c r="C18" s="219" t="s">
        <v>1901</v>
      </c>
      <c r="D18" s="218" t="s">
        <v>15</v>
      </c>
      <c r="E18" s="219"/>
      <c r="F18" s="219">
        <v>-3.875</v>
      </c>
      <c r="G18" s="219">
        <v>1245.1244000000002</v>
      </c>
      <c r="H18" s="302">
        <f t="shared" si="1"/>
        <v>-4824.8570500000005</v>
      </c>
      <c r="I18" s="219" t="s">
        <v>1910</v>
      </c>
      <c r="J18" s="220" t="s">
        <v>1917</v>
      </c>
      <c r="K18" s="303">
        <v>107</v>
      </c>
      <c r="L18" s="303"/>
      <c r="M18" s="303"/>
      <c r="N18" s="303"/>
      <c r="O18" s="303"/>
      <c r="P18" s="303"/>
      <c r="Q18" s="303"/>
      <c r="R18" s="303"/>
      <c r="S18" s="303"/>
    </row>
    <row r="19" spans="1:19" s="221" customFormat="1">
      <c r="A19" s="219" t="s">
        <v>975</v>
      </c>
      <c r="B19" s="122" t="str">
        <f t="shared" si="0"/>
        <v xml:space="preserve"> </v>
      </c>
      <c r="C19" s="219" t="s">
        <v>1903</v>
      </c>
      <c r="D19" s="218" t="s">
        <v>15</v>
      </c>
      <c r="E19" s="219"/>
      <c r="F19" s="219">
        <v>-1.9375</v>
      </c>
      <c r="G19" s="219">
        <v>1245.1244000000002</v>
      </c>
      <c r="H19" s="302">
        <f t="shared" si="1"/>
        <v>-2412.4285250000003</v>
      </c>
      <c r="I19" s="219" t="s">
        <v>1910</v>
      </c>
      <c r="J19" s="220" t="s">
        <v>1917</v>
      </c>
      <c r="K19" s="303">
        <v>108</v>
      </c>
      <c r="L19" s="303"/>
      <c r="M19" s="303"/>
      <c r="N19" s="303"/>
      <c r="O19" s="303"/>
      <c r="P19" s="303"/>
      <c r="Q19" s="303"/>
      <c r="R19" s="303"/>
      <c r="S19" s="303"/>
    </row>
    <row r="20" spans="1:19" s="221" customFormat="1">
      <c r="A20" s="219" t="s">
        <v>975</v>
      </c>
      <c r="B20" s="122" t="str">
        <f t="shared" si="0"/>
        <v xml:space="preserve"> </v>
      </c>
      <c r="C20" s="219" t="s">
        <v>1904</v>
      </c>
      <c r="D20" s="218" t="s">
        <v>15</v>
      </c>
      <c r="E20" s="219"/>
      <c r="F20" s="219">
        <v>-1.9375</v>
      </c>
      <c r="G20" s="219">
        <v>1245.1244000000002</v>
      </c>
      <c r="H20" s="302">
        <f t="shared" si="1"/>
        <v>-2412.4285250000003</v>
      </c>
      <c r="I20" s="219" t="s">
        <v>1910</v>
      </c>
      <c r="J20" s="220" t="s">
        <v>1917</v>
      </c>
      <c r="K20" s="303">
        <v>109</v>
      </c>
      <c r="L20" s="303"/>
      <c r="M20" s="303"/>
      <c r="N20" s="303"/>
      <c r="O20" s="303"/>
      <c r="P20" s="303"/>
      <c r="Q20" s="303"/>
      <c r="R20" s="303"/>
      <c r="S20" s="303"/>
    </row>
    <row r="21" spans="1:19" s="221" customFormat="1">
      <c r="A21" s="219" t="s">
        <v>975</v>
      </c>
      <c r="B21" s="122" t="str">
        <f t="shared" si="0"/>
        <v xml:space="preserve"> </v>
      </c>
      <c r="C21" s="219" t="s">
        <v>1906</v>
      </c>
      <c r="D21" s="218" t="s">
        <v>15</v>
      </c>
      <c r="E21" s="219"/>
      <c r="F21" s="219">
        <v>-1.9375</v>
      </c>
      <c r="G21" s="219">
        <v>1245.1244000000002</v>
      </c>
      <c r="H21" s="302">
        <f t="shared" si="1"/>
        <v>-2412.4285250000003</v>
      </c>
      <c r="I21" s="219" t="s">
        <v>1910</v>
      </c>
      <c r="J21" s="220" t="s">
        <v>1917</v>
      </c>
      <c r="K21" s="303">
        <v>110</v>
      </c>
      <c r="L21" s="303"/>
      <c r="M21" s="303"/>
      <c r="N21" s="303"/>
      <c r="O21" s="303"/>
      <c r="P21" s="303"/>
      <c r="Q21" s="303"/>
      <c r="R21" s="303"/>
      <c r="S21" s="303"/>
    </row>
    <row r="22" spans="1:19" s="221" customFormat="1">
      <c r="A22" s="219" t="s">
        <v>975</v>
      </c>
      <c r="B22" s="122" t="str">
        <f t="shared" si="0"/>
        <v xml:space="preserve"> </v>
      </c>
      <c r="C22" s="219" t="s">
        <v>1907</v>
      </c>
      <c r="D22" s="218" t="s">
        <v>15</v>
      </c>
      <c r="E22" s="219"/>
      <c r="F22" s="219">
        <v>-1.9375</v>
      </c>
      <c r="G22" s="219">
        <v>1245.1244000000002</v>
      </c>
      <c r="H22" s="302">
        <f t="shared" si="1"/>
        <v>-2412.4285250000003</v>
      </c>
      <c r="I22" s="219" t="s">
        <v>1910</v>
      </c>
      <c r="J22" s="220" t="s">
        <v>1917</v>
      </c>
      <c r="K22" s="303">
        <v>111</v>
      </c>
      <c r="L22" s="303"/>
      <c r="M22" s="303"/>
      <c r="N22" s="303"/>
      <c r="O22" s="303"/>
      <c r="P22" s="303"/>
      <c r="Q22" s="303"/>
      <c r="R22" s="303"/>
      <c r="S22" s="303"/>
    </row>
    <row r="23" spans="1:19" s="221" customFormat="1">
      <c r="A23" s="219" t="s">
        <v>975</v>
      </c>
      <c r="B23" s="122" t="str">
        <f t="shared" si="0"/>
        <v xml:space="preserve"> </v>
      </c>
      <c r="C23" s="219" t="s">
        <v>1908</v>
      </c>
      <c r="D23" s="218" t="s">
        <v>15</v>
      </c>
      <c r="E23" s="219"/>
      <c r="F23" s="219">
        <v>-3.875</v>
      </c>
      <c r="G23" s="219">
        <v>1245.1244000000002</v>
      </c>
      <c r="H23" s="302">
        <f t="shared" si="1"/>
        <v>-4824.8570500000005</v>
      </c>
      <c r="I23" s="219" t="s">
        <v>1910</v>
      </c>
      <c r="J23" s="220" t="s">
        <v>1917</v>
      </c>
      <c r="K23" s="303">
        <v>112</v>
      </c>
      <c r="L23" s="303"/>
      <c r="M23" s="303"/>
      <c r="N23" s="303"/>
      <c r="O23" s="303"/>
      <c r="P23" s="303"/>
      <c r="Q23" s="303"/>
      <c r="R23" s="303"/>
      <c r="S23" s="303"/>
    </row>
    <row r="24" spans="1:19" s="221" customFormat="1">
      <c r="A24" s="219" t="s">
        <v>976</v>
      </c>
      <c r="B24" s="122" t="str">
        <f t="shared" si="0"/>
        <v xml:space="preserve"> </v>
      </c>
      <c r="C24" s="219" t="s">
        <v>1901</v>
      </c>
      <c r="D24" s="218" t="s">
        <v>981</v>
      </c>
      <c r="E24" s="219"/>
      <c r="F24" s="219">
        <v>-68.375</v>
      </c>
      <c r="G24" s="219">
        <v>300</v>
      </c>
      <c r="H24" s="302">
        <f t="shared" si="1"/>
        <v>-20512.5</v>
      </c>
      <c r="I24" s="219" t="s">
        <v>1910</v>
      </c>
      <c r="J24" s="220" t="s">
        <v>1917</v>
      </c>
      <c r="K24" s="303">
        <v>113</v>
      </c>
      <c r="L24" s="303"/>
      <c r="M24" s="303"/>
      <c r="N24" s="303"/>
      <c r="O24" s="303"/>
      <c r="P24" s="303"/>
      <c r="Q24" s="303"/>
      <c r="R24" s="303"/>
      <c r="S24" s="303"/>
    </row>
    <row r="25" spans="1:19" s="221" customFormat="1">
      <c r="A25" s="219" t="s">
        <v>976</v>
      </c>
      <c r="B25" s="122" t="str">
        <f t="shared" si="0"/>
        <v xml:space="preserve"> </v>
      </c>
      <c r="C25" s="219" t="s">
        <v>1902</v>
      </c>
      <c r="D25" s="218" t="s">
        <v>981</v>
      </c>
      <c r="E25" s="219"/>
      <c r="F25" s="219">
        <v>-102.5625</v>
      </c>
      <c r="G25" s="219">
        <v>300</v>
      </c>
      <c r="H25" s="302">
        <f t="shared" si="1"/>
        <v>-30768.75</v>
      </c>
      <c r="I25" s="219" t="s">
        <v>1910</v>
      </c>
      <c r="J25" s="220" t="s">
        <v>1917</v>
      </c>
      <c r="K25" s="303">
        <v>114</v>
      </c>
      <c r="L25" s="303"/>
      <c r="M25" s="303"/>
      <c r="N25" s="303"/>
      <c r="O25" s="303"/>
      <c r="P25" s="303"/>
      <c r="Q25" s="303"/>
      <c r="R25" s="303"/>
      <c r="S25" s="303"/>
    </row>
    <row r="26" spans="1:19" s="221" customFormat="1">
      <c r="A26" s="219" t="s">
        <v>976</v>
      </c>
      <c r="B26" s="122" t="str">
        <f t="shared" si="0"/>
        <v xml:space="preserve"> </v>
      </c>
      <c r="C26" s="219" t="s">
        <v>1903</v>
      </c>
      <c r="D26" s="218" t="s">
        <v>981</v>
      </c>
      <c r="E26" s="219"/>
      <c r="F26" s="219">
        <v>-102.5625</v>
      </c>
      <c r="G26" s="219">
        <v>300</v>
      </c>
      <c r="H26" s="302">
        <f t="shared" si="1"/>
        <v>-30768.75</v>
      </c>
      <c r="I26" s="219" t="s">
        <v>1910</v>
      </c>
      <c r="J26" s="220" t="s">
        <v>1917</v>
      </c>
      <c r="K26" s="303">
        <v>115</v>
      </c>
      <c r="L26" s="303"/>
      <c r="M26" s="303"/>
      <c r="N26" s="303"/>
      <c r="O26" s="303"/>
      <c r="P26" s="303"/>
      <c r="Q26" s="303"/>
      <c r="R26" s="303"/>
      <c r="S26" s="303"/>
    </row>
    <row r="27" spans="1:19" s="221" customFormat="1">
      <c r="A27" s="219" t="s">
        <v>976</v>
      </c>
      <c r="B27" s="122" t="str">
        <f t="shared" si="0"/>
        <v xml:space="preserve"> </v>
      </c>
      <c r="C27" s="219" t="s">
        <v>1904</v>
      </c>
      <c r="D27" s="218" t="s">
        <v>981</v>
      </c>
      <c r="E27" s="219"/>
      <c r="F27" s="219">
        <v>-102.5625</v>
      </c>
      <c r="G27" s="219">
        <v>300</v>
      </c>
      <c r="H27" s="302">
        <f t="shared" si="1"/>
        <v>-30768.75</v>
      </c>
      <c r="I27" s="219" t="s">
        <v>1910</v>
      </c>
      <c r="J27" s="220" t="s">
        <v>1917</v>
      </c>
      <c r="K27" s="303">
        <v>116</v>
      </c>
      <c r="L27" s="303"/>
      <c r="M27" s="303"/>
      <c r="N27" s="303"/>
      <c r="O27" s="303"/>
      <c r="P27" s="303"/>
      <c r="Q27" s="303"/>
      <c r="R27" s="303"/>
      <c r="S27" s="303"/>
    </row>
    <row r="28" spans="1:19" s="221" customFormat="1">
      <c r="A28" s="219" t="s">
        <v>976</v>
      </c>
      <c r="B28" s="122" t="str">
        <f t="shared" si="0"/>
        <v xml:space="preserve"> </v>
      </c>
      <c r="C28" s="219" t="s">
        <v>1905</v>
      </c>
      <c r="D28" s="218" t="s">
        <v>981</v>
      </c>
      <c r="E28" s="219"/>
      <c r="F28" s="219">
        <v>-34.1875</v>
      </c>
      <c r="G28" s="219">
        <v>300</v>
      </c>
      <c r="H28" s="302">
        <f t="shared" si="1"/>
        <v>-10256.25</v>
      </c>
      <c r="I28" s="219" t="s">
        <v>1910</v>
      </c>
      <c r="J28" s="220" t="s">
        <v>1917</v>
      </c>
      <c r="K28" s="303">
        <v>117</v>
      </c>
      <c r="L28" s="303"/>
      <c r="M28" s="303"/>
      <c r="N28" s="303"/>
      <c r="O28" s="303"/>
      <c r="P28" s="303"/>
      <c r="Q28" s="303"/>
      <c r="R28" s="303"/>
      <c r="S28" s="303"/>
    </row>
    <row r="29" spans="1:19" s="221" customFormat="1">
      <c r="A29" s="219" t="s">
        <v>976</v>
      </c>
      <c r="B29" s="122" t="str">
        <f t="shared" si="0"/>
        <v xml:space="preserve"> </v>
      </c>
      <c r="C29" s="219" t="s">
        <v>1908</v>
      </c>
      <c r="D29" s="218" t="s">
        <v>981</v>
      </c>
      <c r="E29" s="219"/>
      <c r="F29" s="219">
        <v>-34.1875</v>
      </c>
      <c r="G29" s="219">
        <v>300</v>
      </c>
      <c r="H29" s="302">
        <f t="shared" si="1"/>
        <v>-10256.25</v>
      </c>
      <c r="I29" s="219" t="s">
        <v>1910</v>
      </c>
      <c r="J29" s="220" t="s">
        <v>1917</v>
      </c>
      <c r="K29" s="303">
        <v>118</v>
      </c>
      <c r="L29" s="303"/>
      <c r="M29" s="303"/>
      <c r="N29" s="303"/>
      <c r="O29" s="303"/>
      <c r="P29" s="303"/>
      <c r="Q29" s="303"/>
      <c r="R29" s="303"/>
      <c r="S29" s="303"/>
    </row>
    <row r="30" spans="1:19" s="221" customFormat="1">
      <c r="A30" s="219" t="s">
        <v>976</v>
      </c>
      <c r="B30" s="122" t="str">
        <f t="shared" si="0"/>
        <v xml:space="preserve"> </v>
      </c>
      <c r="C30" s="219" t="s">
        <v>1909</v>
      </c>
      <c r="D30" s="218" t="s">
        <v>981</v>
      </c>
      <c r="E30" s="219"/>
      <c r="F30" s="219">
        <v>-102.5625</v>
      </c>
      <c r="G30" s="219">
        <v>300</v>
      </c>
      <c r="H30" s="302">
        <f t="shared" si="1"/>
        <v>-30768.75</v>
      </c>
      <c r="I30" s="219" t="s">
        <v>1910</v>
      </c>
      <c r="J30" s="220" t="s">
        <v>1917</v>
      </c>
      <c r="K30" s="303">
        <v>119</v>
      </c>
      <c r="L30" s="303"/>
      <c r="M30" s="303"/>
      <c r="N30" s="303"/>
      <c r="O30" s="303"/>
      <c r="P30" s="303"/>
      <c r="Q30" s="303"/>
      <c r="R30" s="303"/>
      <c r="S30" s="303"/>
    </row>
    <row r="31" spans="1:19" s="221" customFormat="1">
      <c r="A31" s="219" t="s">
        <v>990</v>
      </c>
      <c r="B31" s="122" t="str">
        <f t="shared" si="0"/>
        <v xml:space="preserve"> </v>
      </c>
      <c r="C31" s="219" t="s">
        <v>1900</v>
      </c>
      <c r="D31" s="218" t="s">
        <v>1148</v>
      </c>
      <c r="E31" s="219"/>
      <c r="F31" s="219">
        <v>-98.608695652173907</v>
      </c>
      <c r="G31" s="219">
        <v>1490</v>
      </c>
      <c r="H31" s="302">
        <f t="shared" si="1"/>
        <v>-146926.95652173914</v>
      </c>
      <c r="I31" s="219" t="s">
        <v>1910</v>
      </c>
      <c r="J31" s="220" t="s">
        <v>1917</v>
      </c>
      <c r="K31" s="303">
        <v>120</v>
      </c>
      <c r="L31" s="303"/>
      <c r="M31" s="303"/>
      <c r="N31" s="303"/>
      <c r="O31" s="303"/>
      <c r="P31" s="303"/>
      <c r="Q31" s="303"/>
      <c r="R31" s="303"/>
      <c r="S31" s="303"/>
    </row>
    <row r="32" spans="1:19" s="221" customFormat="1">
      <c r="A32" s="219" t="s">
        <v>990</v>
      </c>
      <c r="B32" s="122" t="str">
        <f t="shared" si="0"/>
        <v xml:space="preserve"> </v>
      </c>
      <c r="C32" s="219" t="s">
        <v>1901</v>
      </c>
      <c r="D32" s="218" t="s">
        <v>1148</v>
      </c>
      <c r="E32" s="219"/>
      <c r="F32" s="219">
        <v>-98.608695652173907</v>
      </c>
      <c r="G32" s="219">
        <v>1490</v>
      </c>
      <c r="H32" s="302">
        <f t="shared" si="1"/>
        <v>-146926.95652173914</v>
      </c>
      <c r="I32" s="219" t="s">
        <v>1910</v>
      </c>
      <c r="J32" s="220" t="s">
        <v>1917</v>
      </c>
      <c r="K32" s="303">
        <v>121</v>
      </c>
      <c r="L32" s="303"/>
      <c r="M32" s="303"/>
      <c r="N32" s="303"/>
      <c r="O32" s="303"/>
      <c r="P32" s="303"/>
      <c r="Q32" s="303"/>
      <c r="R32" s="303"/>
      <c r="S32" s="303"/>
    </row>
    <row r="33" spans="1:19" s="221" customFormat="1">
      <c r="A33" s="219" t="s">
        <v>990</v>
      </c>
      <c r="B33" s="122" t="str">
        <f t="shared" si="0"/>
        <v xml:space="preserve"> </v>
      </c>
      <c r="C33" s="219" t="s">
        <v>1902</v>
      </c>
      <c r="D33" s="218" t="s">
        <v>1148</v>
      </c>
      <c r="E33" s="219"/>
      <c r="F33" s="219">
        <v>-65.739130434782595</v>
      </c>
      <c r="G33" s="219">
        <v>1490</v>
      </c>
      <c r="H33" s="302">
        <f t="shared" si="1"/>
        <v>-97951.304347826066</v>
      </c>
      <c r="I33" s="219" t="s">
        <v>1910</v>
      </c>
      <c r="J33" s="220" t="s">
        <v>1917</v>
      </c>
      <c r="K33" s="303">
        <v>122</v>
      </c>
      <c r="L33" s="303"/>
      <c r="M33" s="303"/>
      <c r="N33" s="303"/>
      <c r="O33" s="303"/>
      <c r="P33" s="303"/>
      <c r="Q33" s="303"/>
      <c r="R33" s="303"/>
      <c r="S33" s="303"/>
    </row>
    <row r="34" spans="1:19" s="221" customFormat="1">
      <c r="A34" s="219" t="s">
        <v>990</v>
      </c>
      <c r="B34" s="122" t="str">
        <f t="shared" si="0"/>
        <v xml:space="preserve"> </v>
      </c>
      <c r="C34" s="219" t="s">
        <v>1903</v>
      </c>
      <c r="D34" s="218" t="s">
        <v>1148</v>
      </c>
      <c r="E34" s="219"/>
      <c r="F34" s="219">
        <v>-65.739130434782595</v>
      </c>
      <c r="G34" s="219">
        <v>1490</v>
      </c>
      <c r="H34" s="302">
        <f t="shared" si="1"/>
        <v>-97951.304347826066</v>
      </c>
      <c r="I34" s="219" t="s">
        <v>1910</v>
      </c>
      <c r="J34" s="220" t="s">
        <v>1917</v>
      </c>
      <c r="K34" s="303">
        <v>123</v>
      </c>
      <c r="L34" s="303"/>
      <c r="M34" s="303"/>
      <c r="N34" s="303"/>
      <c r="O34" s="303"/>
      <c r="P34" s="303"/>
      <c r="Q34" s="303"/>
      <c r="R34" s="303"/>
      <c r="S34" s="303"/>
    </row>
    <row r="35" spans="1:19" s="221" customFormat="1">
      <c r="A35" s="219" t="s">
        <v>990</v>
      </c>
      <c r="B35" s="122" t="str">
        <f t="shared" si="0"/>
        <v xml:space="preserve"> </v>
      </c>
      <c r="C35" s="219" t="s">
        <v>1904</v>
      </c>
      <c r="D35" s="218" t="s">
        <v>1148</v>
      </c>
      <c r="E35" s="219"/>
      <c r="F35" s="219">
        <v>-65.739130434782595</v>
      </c>
      <c r="G35" s="219">
        <v>1490</v>
      </c>
      <c r="H35" s="302">
        <f t="shared" si="1"/>
        <v>-97951.304347826066</v>
      </c>
      <c r="I35" s="219" t="s">
        <v>1910</v>
      </c>
      <c r="J35" s="220" t="s">
        <v>1917</v>
      </c>
      <c r="K35" s="303">
        <v>124</v>
      </c>
      <c r="L35" s="303"/>
      <c r="M35" s="303"/>
      <c r="N35" s="303"/>
      <c r="O35" s="303"/>
      <c r="P35" s="303"/>
      <c r="Q35" s="303"/>
      <c r="R35" s="303"/>
      <c r="S35" s="303"/>
    </row>
    <row r="36" spans="1:19" s="221" customFormat="1">
      <c r="A36" s="219" t="s">
        <v>990</v>
      </c>
      <c r="B36" s="122" t="str">
        <f t="shared" si="0"/>
        <v xml:space="preserve"> </v>
      </c>
      <c r="C36" s="219" t="s">
        <v>1905</v>
      </c>
      <c r="D36" s="218" t="s">
        <v>1148</v>
      </c>
      <c r="E36" s="219"/>
      <c r="F36" s="219">
        <v>-32.869565217391298</v>
      </c>
      <c r="G36" s="219">
        <v>1490</v>
      </c>
      <c r="H36" s="302">
        <f t="shared" si="1"/>
        <v>-48975.652173913033</v>
      </c>
      <c r="I36" s="219" t="s">
        <v>1910</v>
      </c>
      <c r="J36" s="220" t="s">
        <v>1917</v>
      </c>
      <c r="K36" s="303">
        <v>125</v>
      </c>
      <c r="L36" s="303"/>
      <c r="M36" s="303"/>
      <c r="N36" s="303"/>
      <c r="O36" s="303"/>
      <c r="P36" s="303"/>
      <c r="Q36" s="303"/>
      <c r="R36" s="303"/>
      <c r="S36" s="303"/>
    </row>
    <row r="37" spans="1:19" s="221" customFormat="1">
      <c r="A37" s="219" t="s">
        <v>990</v>
      </c>
      <c r="B37" s="122" t="str">
        <f t="shared" si="0"/>
        <v xml:space="preserve"> </v>
      </c>
      <c r="C37" s="219" t="s">
        <v>1906</v>
      </c>
      <c r="D37" s="218" t="s">
        <v>1148</v>
      </c>
      <c r="E37" s="219"/>
      <c r="F37" s="219">
        <v>-98.608695652173907</v>
      </c>
      <c r="G37" s="219">
        <v>1490</v>
      </c>
      <c r="H37" s="302">
        <f t="shared" si="1"/>
        <v>-146926.95652173914</v>
      </c>
      <c r="I37" s="219" t="s">
        <v>1910</v>
      </c>
      <c r="J37" s="220" t="s">
        <v>1917</v>
      </c>
      <c r="K37" s="303">
        <v>126</v>
      </c>
      <c r="L37" s="303"/>
      <c r="M37" s="303"/>
      <c r="N37" s="303"/>
      <c r="O37" s="303"/>
      <c r="P37" s="303"/>
      <c r="Q37" s="303"/>
      <c r="R37" s="303"/>
      <c r="S37" s="303"/>
    </row>
    <row r="38" spans="1:19" s="221" customFormat="1">
      <c r="A38" s="219" t="s">
        <v>990</v>
      </c>
      <c r="B38" s="122" t="str">
        <f t="shared" si="0"/>
        <v xml:space="preserve"> </v>
      </c>
      <c r="C38" s="219" t="s">
        <v>1890</v>
      </c>
      <c r="D38" s="218" t="s">
        <v>1148</v>
      </c>
      <c r="E38" s="219"/>
      <c r="F38" s="219">
        <v>-32.869565217391298</v>
      </c>
      <c r="G38" s="219">
        <v>1490</v>
      </c>
      <c r="H38" s="302">
        <f t="shared" si="1"/>
        <v>-48975.652173913033</v>
      </c>
      <c r="I38" s="219" t="s">
        <v>1910</v>
      </c>
      <c r="J38" s="220" t="s">
        <v>1917</v>
      </c>
      <c r="K38" s="303">
        <v>127</v>
      </c>
      <c r="L38" s="303"/>
      <c r="M38" s="303"/>
      <c r="N38" s="303"/>
      <c r="O38" s="303"/>
      <c r="P38" s="303"/>
      <c r="Q38" s="303"/>
      <c r="R38" s="303"/>
      <c r="S38" s="303"/>
    </row>
    <row r="39" spans="1:19" s="221" customFormat="1">
      <c r="A39" s="219" t="s">
        <v>990</v>
      </c>
      <c r="B39" s="122" t="str">
        <f t="shared" si="0"/>
        <v xml:space="preserve"> </v>
      </c>
      <c r="C39" s="219" t="s">
        <v>1907</v>
      </c>
      <c r="D39" s="218" t="s">
        <v>1148</v>
      </c>
      <c r="E39" s="219"/>
      <c r="F39" s="219">
        <v>-98.608695652173907</v>
      </c>
      <c r="G39" s="219">
        <v>1490</v>
      </c>
      <c r="H39" s="302">
        <f t="shared" si="1"/>
        <v>-146926.95652173914</v>
      </c>
      <c r="I39" s="219" t="s">
        <v>1910</v>
      </c>
      <c r="J39" s="220" t="s">
        <v>1917</v>
      </c>
      <c r="K39" s="303">
        <v>128</v>
      </c>
      <c r="L39" s="303"/>
      <c r="M39" s="303"/>
      <c r="N39" s="303"/>
      <c r="O39" s="303"/>
      <c r="P39" s="303"/>
      <c r="Q39" s="303"/>
      <c r="R39" s="303"/>
      <c r="S39" s="303"/>
    </row>
    <row r="40" spans="1:19" s="221" customFormat="1">
      <c r="A40" s="219" t="s">
        <v>990</v>
      </c>
      <c r="B40" s="122" t="str">
        <f t="shared" si="0"/>
        <v xml:space="preserve"> </v>
      </c>
      <c r="C40" s="219" t="s">
        <v>1908</v>
      </c>
      <c r="D40" s="218" t="s">
        <v>1148</v>
      </c>
      <c r="E40" s="219"/>
      <c r="F40" s="219">
        <v>-65.739130434782595</v>
      </c>
      <c r="G40" s="219">
        <v>1490</v>
      </c>
      <c r="H40" s="302">
        <f t="shared" si="1"/>
        <v>-97951.304347826066</v>
      </c>
      <c r="I40" s="219" t="s">
        <v>1910</v>
      </c>
      <c r="J40" s="220" t="s">
        <v>1917</v>
      </c>
      <c r="K40" s="303">
        <v>129</v>
      </c>
      <c r="L40" s="303"/>
      <c r="M40" s="303"/>
      <c r="N40" s="303"/>
      <c r="O40" s="303"/>
      <c r="P40" s="303"/>
      <c r="Q40" s="303"/>
      <c r="R40" s="303"/>
      <c r="S40" s="303"/>
    </row>
    <row r="41" spans="1:19" s="221" customFormat="1">
      <c r="A41" s="219" t="s">
        <v>990</v>
      </c>
      <c r="B41" s="122" t="str">
        <f t="shared" si="0"/>
        <v xml:space="preserve"> </v>
      </c>
      <c r="C41" s="219" t="s">
        <v>1909</v>
      </c>
      <c r="D41" s="218" t="s">
        <v>1148</v>
      </c>
      <c r="E41" s="219"/>
      <c r="F41" s="219">
        <v>-32.869565217391298</v>
      </c>
      <c r="G41" s="219">
        <v>1490</v>
      </c>
      <c r="H41" s="302">
        <f t="shared" si="1"/>
        <v>-48975.652173913033</v>
      </c>
      <c r="I41" s="219" t="s">
        <v>1910</v>
      </c>
      <c r="J41" s="220" t="s">
        <v>1917</v>
      </c>
      <c r="K41" s="303">
        <v>130</v>
      </c>
      <c r="L41" s="303"/>
      <c r="M41" s="303"/>
      <c r="N41" s="303"/>
      <c r="O41" s="303"/>
      <c r="P41" s="303"/>
      <c r="Q41" s="303"/>
      <c r="R41" s="303"/>
      <c r="S41" s="303"/>
    </row>
    <row r="42" spans="1:19" s="221" customFormat="1">
      <c r="A42" s="219"/>
      <c r="B42" s="122" t="str">
        <f t="shared" si="0"/>
        <v xml:space="preserve"> </v>
      </c>
      <c r="C42" s="219"/>
      <c r="D42" s="218"/>
      <c r="E42" s="219"/>
      <c r="F42" s="219"/>
      <c r="G42" s="219"/>
      <c r="H42" s="302">
        <f t="shared" si="1"/>
        <v>0</v>
      </c>
      <c r="I42" s="219"/>
      <c r="J42" s="220"/>
      <c r="K42" s="303">
        <v>131</v>
      </c>
      <c r="L42" s="303"/>
      <c r="M42" s="303"/>
      <c r="N42" s="303"/>
      <c r="O42" s="303"/>
      <c r="P42" s="303"/>
      <c r="Q42" s="303"/>
      <c r="R42" s="303"/>
      <c r="S42" s="303"/>
    </row>
    <row r="43" spans="1:19" s="221" customFormat="1">
      <c r="A43" s="219"/>
      <c r="B43" s="122" t="str">
        <f t="shared" ref="B43:B122" si="2">IF($A43="Other","&lt;Please specify&gt;"," ")</f>
        <v xml:space="preserve"> </v>
      </c>
      <c r="C43" s="219"/>
      <c r="D43" s="218"/>
      <c r="E43" s="219"/>
      <c r="F43" s="219"/>
      <c r="G43" s="219"/>
      <c r="H43" s="302">
        <f t="shared" ref="H43:H74" si="3">$F43*$G43</f>
        <v>0</v>
      </c>
      <c r="I43" s="219"/>
      <c r="J43" s="220"/>
      <c r="K43" s="303">
        <v>132</v>
      </c>
      <c r="L43" s="303"/>
      <c r="M43" s="303"/>
      <c r="N43" s="303"/>
      <c r="O43" s="303"/>
      <c r="P43" s="303"/>
      <c r="Q43" s="303"/>
      <c r="R43" s="303"/>
      <c r="S43" s="303"/>
    </row>
    <row r="44" spans="1:19" s="221" customFormat="1">
      <c r="A44" s="219"/>
      <c r="B44" s="122" t="str">
        <f t="shared" si="2"/>
        <v xml:space="preserve"> </v>
      </c>
      <c r="C44" s="219"/>
      <c r="D44" s="218"/>
      <c r="E44" s="219"/>
      <c r="F44" s="219"/>
      <c r="G44" s="219"/>
      <c r="H44" s="302">
        <f t="shared" si="3"/>
        <v>0</v>
      </c>
      <c r="I44" s="219"/>
      <c r="J44" s="220"/>
      <c r="K44" s="303">
        <v>133</v>
      </c>
      <c r="L44" s="303"/>
      <c r="M44" s="303"/>
      <c r="N44" s="303"/>
      <c r="O44" s="303"/>
      <c r="P44" s="303"/>
      <c r="Q44" s="303"/>
      <c r="R44" s="303"/>
      <c r="S44" s="303"/>
    </row>
    <row r="45" spans="1:19" s="221" customFormat="1">
      <c r="A45" s="219"/>
      <c r="B45" s="122" t="str">
        <f t="shared" si="2"/>
        <v xml:space="preserve"> </v>
      </c>
      <c r="C45" s="219"/>
      <c r="D45" s="218"/>
      <c r="E45" s="219"/>
      <c r="F45" s="219"/>
      <c r="G45" s="219"/>
      <c r="H45" s="302">
        <f t="shared" si="3"/>
        <v>0</v>
      </c>
      <c r="I45" s="219"/>
      <c r="J45" s="220"/>
      <c r="K45" s="303">
        <v>134</v>
      </c>
      <c r="L45" s="303"/>
      <c r="M45" s="303"/>
      <c r="N45" s="303"/>
      <c r="O45" s="303"/>
      <c r="P45" s="303"/>
      <c r="Q45" s="303"/>
      <c r="R45" s="303"/>
      <c r="S45" s="303"/>
    </row>
    <row r="46" spans="1:19" s="221" customFormat="1">
      <c r="A46" s="219"/>
      <c r="B46" s="122" t="str">
        <f t="shared" si="2"/>
        <v xml:space="preserve"> </v>
      </c>
      <c r="C46" s="219"/>
      <c r="D46" s="218"/>
      <c r="E46" s="219"/>
      <c r="F46" s="219"/>
      <c r="G46" s="219"/>
      <c r="H46" s="302">
        <f t="shared" si="3"/>
        <v>0</v>
      </c>
      <c r="I46" s="219"/>
      <c r="J46" s="220"/>
      <c r="K46" s="303">
        <v>135</v>
      </c>
      <c r="L46" s="303"/>
      <c r="M46" s="303"/>
      <c r="N46" s="303"/>
      <c r="O46" s="303"/>
      <c r="P46" s="303"/>
      <c r="Q46" s="303"/>
      <c r="R46" s="303"/>
      <c r="S46" s="303"/>
    </row>
    <row r="47" spans="1:19" s="221" customFormat="1">
      <c r="A47" s="219"/>
      <c r="B47" s="122" t="str">
        <f t="shared" si="2"/>
        <v xml:space="preserve"> </v>
      </c>
      <c r="C47" s="219"/>
      <c r="D47" s="218"/>
      <c r="E47" s="219"/>
      <c r="F47" s="219"/>
      <c r="G47" s="219"/>
      <c r="H47" s="302">
        <f t="shared" si="3"/>
        <v>0</v>
      </c>
      <c r="I47" s="219"/>
      <c r="J47" s="220"/>
      <c r="K47" s="303">
        <v>136</v>
      </c>
      <c r="L47" s="303"/>
      <c r="M47" s="303"/>
      <c r="N47" s="303"/>
      <c r="O47" s="303"/>
      <c r="P47" s="303"/>
      <c r="Q47" s="303"/>
      <c r="R47" s="303"/>
      <c r="S47" s="303"/>
    </row>
    <row r="48" spans="1:19" s="221" customFormat="1">
      <c r="A48" s="219"/>
      <c r="B48" s="122" t="str">
        <f t="shared" si="2"/>
        <v xml:space="preserve"> </v>
      </c>
      <c r="C48" s="219"/>
      <c r="D48" s="218"/>
      <c r="E48" s="219"/>
      <c r="F48" s="219"/>
      <c r="G48" s="219"/>
      <c r="H48" s="302">
        <f t="shared" si="3"/>
        <v>0</v>
      </c>
      <c r="I48" s="219"/>
      <c r="J48" s="220"/>
      <c r="K48" s="303">
        <v>137</v>
      </c>
      <c r="L48" s="303"/>
      <c r="M48" s="303"/>
      <c r="N48" s="303"/>
      <c r="O48" s="303"/>
      <c r="P48" s="303"/>
      <c r="Q48" s="303"/>
      <c r="R48" s="303"/>
      <c r="S48" s="303"/>
    </row>
    <row r="49" spans="1:19" s="221" customFormat="1">
      <c r="A49" s="219"/>
      <c r="B49" s="122" t="str">
        <f t="shared" si="2"/>
        <v xml:space="preserve"> </v>
      </c>
      <c r="C49" s="219"/>
      <c r="D49" s="218"/>
      <c r="E49" s="219"/>
      <c r="F49" s="219"/>
      <c r="G49" s="219"/>
      <c r="H49" s="302">
        <f t="shared" si="3"/>
        <v>0</v>
      </c>
      <c r="I49" s="219"/>
      <c r="J49" s="220"/>
      <c r="K49" s="303">
        <v>138</v>
      </c>
      <c r="L49" s="303"/>
      <c r="M49" s="303"/>
      <c r="N49" s="303"/>
      <c r="O49" s="303"/>
      <c r="P49" s="303"/>
      <c r="Q49" s="303"/>
      <c r="R49" s="303"/>
      <c r="S49" s="303"/>
    </row>
    <row r="50" spans="1:19" s="221" customFormat="1">
      <c r="A50" s="219"/>
      <c r="B50" s="122" t="str">
        <f t="shared" si="2"/>
        <v xml:space="preserve"> </v>
      </c>
      <c r="C50" s="219"/>
      <c r="D50" s="218"/>
      <c r="E50" s="219"/>
      <c r="F50" s="219"/>
      <c r="G50" s="219"/>
      <c r="H50" s="302">
        <f t="shared" si="3"/>
        <v>0</v>
      </c>
      <c r="I50" s="219"/>
      <c r="J50" s="220"/>
      <c r="K50" s="303">
        <v>139</v>
      </c>
      <c r="L50" s="303"/>
      <c r="M50" s="303"/>
      <c r="N50" s="303"/>
      <c r="O50" s="303"/>
      <c r="P50" s="303"/>
      <c r="Q50" s="303"/>
      <c r="R50" s="303"/>
      <c r="S50" s="303"/>
    </row>
    <row r="51" spans="1:19" s="221" customFormat="1">
      <c r="A51" s="219"/>
      <c r="B51" s="122" t="str">
        <f t="shared" si="2"/>
        <v xml:space="preserve"> </v>
      </c>
      <c r="C51" s="219"/>
      <c r="D51" s="218"/>
      <c r="E51" s="219"/>
      <c r="F51" s="219"/>
      <c r="G51" s="219"/>
      <c r="H51" s="302">
        <f t="shared" si="3"/>
        <v>0</v>
      </c>
      <c r="I51" s="219"/>
      <c r="J51" s="220"/>
      <c r="K51" s="303">
        <v>140</v>
      </c>
      <c r="L51" s="303"/>
      <c r="M51" s="303"/>
      <c r="N51" s="303"/>
      <c r="O51" s="303"/>
      <c r="P51" s="303"/>
      <c r="Q51" s="303"/>
      <c r="R51" s="303"/>
      <c r="S51" s="303"/>
    </row>
    <row r="52" spans="1:19" s="221" customFormat="1">
      <c r="A52" s="219"/>
      <c r="B52" s="122" t="str">
        <f t="shared" si="2"/>
        <v xml:space="preserve"> </v>
      </c>
      <c r="C52" s="219"/>
      <c r="D52" s="218"/>
      <c r="E52" s="219"/>
      <c r="F52" s="219"/>
      <c r="G52" s="219"/>
      <c r="H52" s="302">
        <f t="shared" si="3"/>
        <v>0</v>
      </c>
      <c r="I52" s="219"/>
      <c r="J52" s="220"/>
      <c r="K52" s="303">
        <v>141</v>
      </c>
      <c r="L52" s="303"/>
      <c r="M52" s="303"/>
      <c r="N52" s="303"/>
      <c r="O52" s="303"/>
      <c r="P52" s="303"/>
      <c r="Q52" s="303"/>
      <c r="R52" s="303"/>
      <c r="S52" s="303"/>
    </row>
    <row r="53" spans="1:19" s="221" customFormat="1">
      <c r="A53" s="219"/>
      <c r="B53" s="122" t="str">
        <f t="shared" si="2"/>
        <v xml:space="preserve"> </v>
      </c>
      <c r="C53" s="219"/>
      <c r="D53" s="218"/>
      <c r="E53" s="219"/>
      <c r="F53" s="219"/>
      <c r="G53" s="219"/>
      <c r="H53" s="302">
        <f t="shared" si="3"/>
        <v>0</v>
      </c>
      <c r="I53" s="219"/>
      <c r="J53" s="220"/>
      <c r="K53" s="303">
        <v>142</v>
      </c>
      <c r="L53" s="303"/>
      <c r="M53" s="303"/>
      <c r="N53" s="303"/>
      <c r="O53" s="303"/>
      <c r="P53" s="303"/>
      <c r="Q53" s="303"/>
      <c r="R53" s="303"/>
      <c r="S53" s="303"/>
    </row>
    <row r="54" spans="1:19" s="221" customFormat="1">
      <c r="A54" s="219"/>
      <c r="B54" s="122" t="str">
        <f t="shared" si="2"/>
        <v xml:space="preserve"> </v>
      </c>
      <c r="C54" s="219"/>
      <c r="D54" s="218"/>
      <c r="E54" s="219"/>
      <c r="F54" s="219"/>
      <c r="G54" s="219"/>
      <c r="H54" s="302">
        <f t="shared" si="3"/>
        <v>0</v>
      </c>
      <c r="I54" s="219"/>
      <c r="J54" s="220"/>
      <c r="K54" s="303">
        <v>143</v>
      </c>
      <c r="L54" s="303"/>
      <c r="M54" s="303"/>
      <c r="N54" s="303"/>
      <c r="O54" s="303"/>
      <c r="P54" s="303"/>
      <c r="Q54" s="303"/>
      <c r="R54" s="303"/>
      <c r="S54" s="303"/>
    </row>
    <row r="55" spans="1:19" s="221" customFormat="1">
      <c r="A55" s="219"/>
      <c r="B55" s="122" t="str">
        <f t="shared" si="2"/>
        <v xml:space="preserve"> </v>
      </c>
      <c r="C55" s="219"/>
      <c r="D55" s="218"/>
      <c r="E55" s="219"/>
      <c r="F55" s="219"/>
      <c r="G55" s="219"/>
      <c r="H55" s="302">
        <f t="shared" si="3"/>
        <v>0</v>
      </c>
      <c r="I55" s="219"/>
      <c r="J55" s="220"/>
      <c r="K55" s="303">
        <v>144</v>
      </c>
      <c r="L55" s="303"/>
      <c r="M55" s="303"/>
      <c r="N55" s="303"/>
      <c r="O55" s="303"/>
      <c r="P55" s="303"/>
      <c r="Q55" s="303"/>
      <c r="R55" s="303"/>
      <c r="S55" s="303"/>
    </row>
    <row r="56" spans="1:19" s="221" customFormat="1">
      <c r="A56" s="219"/>
      <c r="B56" s="122" t="str">
        <f t="shared" si="2"/>
        <v xml:space="preserve"> </v>
      </c>
      <c r="C56" s="219"/>
      <c r="D56" s="218"/>
      <c r="E56" s="219"/>
      <c r="F56" s="219"/>
      <c r="G56" s="219"/>
      <c r="H56" s="302">
        <f t="shared" si="3"/>
        <v>0</v>
      </c>
      <c r="I56" s="219"/>
      <c r="J56" s="220"/>
      <c r="K56" s="303">
        <v>145</v>
      </c>
      <c r="L56" s="303"/>
      <c r="M56" s="303"/>
      <c r="N56" s="303"/>
      <c r="O56" s="303"/>
      <c r="P56" s="303"/>
      <c r="Q56" s="303"/>
      <c r="R56" s="303"/>
      <c r="S56" s="303"/>
    </row>
    <row r="57" spans="1:19" s="221" customFormat="1">
      <c r="A57" s="219"/>
      <c r="B57" s="122" t="str">
        <f t="shared" si="2"/>
        <v xml:space="preserve"> </v>
      </c>
      <c r="C57" s="219"/>
      <c r="D57" s="218"/>
      <c r="E57" s="219"/>
      <c r="F57" s="219"/>
      <c r="G57" s="219"/>
      <c r="H57" s="302">
        <f t="shared" si="3"/>
        <v>0</v>
      </c>
      <c r="I57" s="219"/>
      <c r="J57" s="220"/>
      <c r="K57" s="303">
        <v>146</v>
      </c>
      <c r="L57" s="303"/>
      <c r="M57" s="303"/>
      <c r="N57" s="303"/>
      <c r="O57" s="303"/>
      <c r="P57" s="303"/>
      <c r="Q57" s="303"/>
      <c r="R57" s="303"/>
      <c r="S57" s="303"/>
    </row>
    <row r="58" spans="1:19" s="221" customFormat="1">
      <c r="A58" s="219"/>
      <c r="B58" s="122" t="str">
        <f t="shared" si="2"/>
        <v xml:space="preserve"> </v>
      </c>
      <c r="C58" s="219"/>
      <c r="D58" s="218"/>
      <c r="E58" s="219"/>
      <c r="F58" s="219"/>
      <c r="G58" s="219"/>
      <c r="H58" s="302">
        <f t="shared" si="3"/>
        <v>0</v>
      </c>
      <c r="I58" s="219"/>
      <c r="J58" s="220"/>
      <c r="K58" s="303">
        <v>147</v>
      </c>
      <c r="L58" s="303"/>
      <c r="M58" s="303"/>
      <c r="N58" s="303"/>
      <c r="O58" s="303"/>
      <c r="P58" s="303"/>
      <c r="Q58" s="303"/>
      <c r="R58" s="303"/>
      <c r="S58" s="303"/>
    </row>
    <row r="59" spans="1:19" s="221" customFormat="1">
      <c r="A59" s="219"/>
      <c r="B59" s="122" t="str">
        <f t="shared" si="2"/>
        <v xml:space="preserve"> </v>
      </c>
      <c r="C59" s="219"/>
      <c r="D59" s="218"/>
      <c r="E59" s="219"/>
      <c r="F59" s="219"/>
      <c r="G59" s="219"/>
      <c r="H59" s="302">
        <f t="shared" si="3"/>
        <v>0</v>
      </c>
      <c r="I59" s="219"/>
      <c r="J59" s="220"/>
      <c r="K59" s="303">
        <v>148</v>
      </c>
      <c r="L59" s="303"/>
      <c r="M59" s="303"/>
      <c r="N59" s="303"/>
      <c r="O59" s="303"/>
      <c r="P59" s="303"/>
      <c r="Q59" s="303"/>
      <c r="R59" s="303"/>
      <c r="S59" s="303"/>
    </row>
    <row r="60" spans="1:19" s="221" customFormat="1">
      <c r="A60" s="219"/>
      <c r="B60" s="122" t="str">
        <f t="shared" si="2"/>
        <v xml:space="preserve"> </v>
      </c>
      <c r="C60" s="219"/>
      <c r="D60" s="218"/>
      <c r="E60" s="219"/>
      <c r="F60" s="219"/>
      <c r="G60" s="219"/>
      <c r="H60" s="302">
        <f t="shared" si="3"/>
        <v>0</v>
      </c>
      <c r="I60" s="219"/>
      <c r="J60" s="220"/>
      <c r="K60" s="303">
        <v>149</v>
      </c>
      <c r="L60" s="303"/>
      <c r="M60" s="303"/>
      <c r="N60" s="303"/>
      <c r="O60" s="303"/>
      <c r="P60" s="303"/>
      <c r="Q60" s="303"/>
      <c r="R60" s="303"/>
      <c r="S60" s="303"/>
    </row>
    <row r="61" spans="1:19" s="221" customFormat="1" hidden="1">
      <c r="A61" s="219"/>
      <c r="B61" s="122" t="str">
        <f t="shared" si="2"/>
        <v xml:space="preserve"> </v>
      </c>
      <c r="C61" s="219"/>
      <c r="D61" s="218"/>
      <c r="E61" s="219"/>
      <c r="F61" s="219"/>
      <c r="G61" s="219"/>
      <c r="H61" s="302">
        <f t="shared" si="3"/>
        <v>0</v>
      </c>
      <c r="I61" s="219"/>
      <c r="J61" s="220"/>
      <c r="K61" s="303">
        <f t="shared" ref="K61:K92" si="4">ROW()+89</f>
        <v>150</v>
      </c>
      <c r="L61" s="303"/>
      <c r="M61" s="303"/>
      <c r="N61" s="303"/>
      <c r="O61" s="303"/>
      <c r="P61" s="303"/>
      <c r="Q61" s="303"/>
      <c r="R61" s="303"/>
      <c r="S61" s="303"/>
    </row>
    <row r="62" spans="1:19" s="221" customFormat="1" hidden="1">
      <c r="A62" s="219"/>
      <c r="B62" s="122" t="str">
        <f t="shared" si="2"/>
        <v xml:space="preserve"> </v>
      </c>
      <c r="C62" s="219"/>
      <c r="D62" s="218"/>
      <c r="E62" s="219"/>
      <c r="F62" s="219"/>
      <c r="G62" s="219"/>
      <c r="H62" s="302">
        <f t="shared" si="3"/>
        <v>0</v>
      </c>
      <c r="I62" s="219"/>
      <c r="J62" s="220"/>
      <c r="K62" s="303">
        <f t="shared" si="4"/>
        <v>151</v>
      </c>
      <c r="L62" s="303"/>
      <c r="M62" s="303"/>
      <c r="N62" s="303"/>
      <c r="O62" s="303"/>
      <c r="P62" s="303"/>
      <c r="Q62" s="303"/>
      <c r="R62" s="303"/>
      <c r="S62" s="303"/>
    </row>
    <row r="63" spans="1:19" s="221" customFormat="1" hidden="1">
      <c r="A63" s="219"/>
      <c r="B63" s="122" t="str">
        <f t="shared" si="2"/>
        <v xml:space="preserve"> </v>
      </c>
      <c r="C63" s="219"/>
      <c r="D63" s="218"/>
      <c r="E63" s="219"/>
      <c r="F63" s="219"/>
      <c r="G63" s="219"/>
      <c r="H63" s="302">
        <f t="shared" si="3"/>
        <v>0</v>
      </c>
      <c r="I63" s="219"/>
      <c r="J63" s="220"/>
      <c r="K63" s="303">
        <f t="shared" si="4"/>
        <v>152</v>
      </c>
      <c r="L63" s="303"/>
      <c r="M63" s="303"/>
      <c r="N63" s="303"/>
      <c r="O63" s="303"/>
      <c r="P63" s="303"/>
      <c r="Q63" s="303"/>
      <c r="R63" s="303"/>
      <c r="S63" s="303"/>
    </row>
    <row r="64" spans="1:19" s="221" customFormat="1" hidden="1">
      <c r="A64" s="219"/>
      <c r="B64" s="122" t="str">
        <f t="shared" si="2"/>
        <v xml:space="preserve"> </v>
      </c>
      <c r="C64" s="219"/>
      <c r="D64" s="218"/>
      <c r="E64" s="219"/>
      <c r="F64" s="219"/>
      <c r="G64" s="219"/>
      <c r="H64" s="302">
        <f t="shared" si="3"/>
        <v>0</v>
      </c>
      <c r="I64" s="219"/>
      <c r="J64" s="220"/>
      <c r="K64" s="303">
        <f t="shared" si="4"/>
        <v>153</v>
      </c>
      <c r="L64" s="303"/>
      <c r="M64" s="303"/>
      <c r="N64" s="303"/>
      <c r="O64" s="303"/>
      <c r="P64" s="303"/>
      <c r="Q64" s="303"/>
      <c r="R64" s="303"/>
      <c r="S64" s="303"/>
    </row>
    <row r="65" spans="1:19" s="221" customFormat="1" hidden="1">
      <c r="A65" s="219"/>
      <c r="B65" s="122" t="str">
        <f t="shared" si="2"/>
        <v xml:space="preserve"> </v>
      </c>
      <c r="C65" s="219"/>
      <c r="D65" s="218"/>
      <c r="E65" s="219"/>
      <c r="F65" s="219"/>
      <c r="G65" s="219"/>
      <c r="H65" s="302">
        <f t="shared" si="3"/>
        <v>0</v>
      </c>
      <c r="I65" s="219"/>
      <c r="J65" s="220"/>
      <c r="K65" s="303">
        <f t="shared" si="4"/>
        <v>154</v>
      </c>
      <c r="L65" s="303"/>
      <c r="M65" s="303"/>
      <c r="N65" s="303"/>
      <c r="O65" s="303"/>
      <c r="P65" s="303"/>
      <c r="Q65" s="303"/>
      <c r="R65" s="303"/>
      <c r="S65" s="303"/>
    </row>
    <row r="66" spans="1:19" s="221" customFormat="1" hidden="1">
      <c r="A66" s="219"/>
      <c r="B66" s="122" t="str">
        <f t="shared" si="2"/>
        <v xml:space="preserve"> </v>
      </c>
      <c r="C66" s="219"/>
      <c r="D66" s="218"/>
      <c r="E66" s="219"/>
      <c r="F66" s="219"/>
      <c r="G66" s="219"/>
      <c r="H66" s="302">
        <f t="shared" si="3"/>
        <v>0</v>
      </c>
      <c r="I66" s="219"/>
      <c r="J66" s="220"/>
      <c r="K66" s="303">
        <f t="shared" si="4"/>
        <v>155</v>
      </c>
      <c r="L66" s="303"/>
      <c r="M66" s="303"/>
      <c r="N66" s="303"/>
      <c r="O66" s="303"/>
      <c r="P66" s="303"/>
      <c r="Q66" s="303"/>
      <c r="R66" s="303"/>
      <c r="S66" s="303"/>
    </row>
    <row r="67" spans="1:19" s="221" customFormat="1" hidden="1">
      <c r="A67" s="219"/>
      <c r="B67" s="122" t="str">
        <f t="shared" si="2"/>
        <v xml:space="preserve"> </v>
      </c>
      <c r="C67" s="219"/>
      <c r="D67" s="218"/>
      <c r="E67" s="219"/>
      <c r="F67" s="219"/>
      <c r="G67" s="219"/>
      <c r="H67" s="302">
        <f t="shared" si="3"/>
        <v>0</v>
      </c>
      <c r="I67" s="219"/>
      <c r="J67" s="220"/>
      <c r="K67" s="303">
        <f t="shared" si="4"/>
        <v>156</v>
      </c>
      <c r="L67" s="303"/>
      <c r="M67" s="303"/>
      <c r="N67" s="303"/>
      <c r="O67" s="303"/>
      <c r="P67" s="303"/>
      <c r="Q67" s="303"/>
      <c r="R67" s="303"/>
      <c r="S67" s="303"/>
    </row>
    <row r="68" spans="1:19" s="221" customFormat="1" hidden="1">
      <c r="A68" s="219"/>
      <c r="B68" s="122" t="str">
        <f t="shared" si="2"/>
        <v xml:space="preserve"> </v>
      </c>
      <c r="C68" s="219"/>
      <c r="D68" s="218"/>
      <c r="E68" s="219"/>
      <c r="F68" s="219"/>
      <c r="G68" s="219"/>
      <c r="H68" s="302">
        <f t="shared" si="3"/>
        <v>0</v>
      </c>
      <c r="I68" s="219"/>
      <c r="J68" s="220"/>
      <c r="K68" s="303">
        <f t="shared" si="4"/>
        <v>157</v>
      </c>
      <c r="L68" s="303"/>
      <c r="M68" s="303"/>
      <c r="N68" s="303"/>
      <c r="O68" s="303"/>
      <c r="P68" s="303"/>
      <c r="Q68" s="303"/>
      <c r="R68" s="303"/>
      <c r="S68" s="303"/>
    </row>
    <row r="69" spans="1:19" s="221" customFormat="1" hidden="1">
      <c r="A69" s="219"/>
      <c r="B69" s="122" t="str">
        <f t="shared" si="2"/>
        <v xml:space="preserve"> </v>
      </c>
      <c r="C69" s="219"/>
      <c r="D69" s="218"/>
      <c r="E69" s="219"/>
      <c r="F69" s="219"/>
      <c r="G69" s="219"/>
      <c r="H69" s="302">
        <f t="shared" si="3"/>
        <v>0</v>
      </c>
      <c r="I69" s="219"/>
      <c r="J69" s="220"/>
      <c r="K69" s="303">
        <f t="shared" si="4"/>
        <v>158</v>
      </c>
      <c r="L69" s="303"/>
      <c r="M69" s="303"/>
      <c r="N69" s="303"/>
      <c r="O69" s="303"/>
      <c r="P69" s="303"/>
      <c r="Q69" s="303"/>
      <c r="R69" s="303"/>
      <c r="S69" s="303"/>
    </row>
    <row r="70" spans="1:19" s="221" customFormat="1" hidden="1">
      <c r="A70" s="219"/>
      <c r="B70" s="122" t="str">
        <f t="shared" si="2"/>
        <v xml:space="preserve"> </v>
      </c>
      <c r="C70" s="219"/>
      <c r="D70" s="218"/>
      <c r="E70" s="219"/>
      <c r="F70" s="219"/>
      <c r="G70" s="219"/>
      <c r="H70" s="302">
        <f t="shared" si="3"/>
        <v>0</v>
      </c>
      <c r="I70" s="219"/>
      <c r="J70" s="220"/>
      <c r="K70" s="303">
        <f t="shared" si="4"/>
        <v>159</v>
      </c>
      <c r="L70" s="303"/>
      <c r="M70" s="303"/>
      <c r="N70" s="303"/>
      <c r="O70" s="303"/>
      <c r="P70" s="303"/>
      <c r="Q70" s="303"/>
      <c r="R70" s="303"/>
      <c r="S70" s="303"/>
    </row>
    <row r="71" spans="1:19" s="221" customFormat="1" hidden="1">
      <c r="A71" s="219"/>
      <c r="B71" s="122" t="str">
        <f t="shared" si="2"/>
        <v xml:space="preserve"> </v>
      </c>
      <c r="C71" s="219"/>
      <c r="D71" s="218"/>
      <c r="E71" s="219"/>
      <c r="F71" s="219"/>
      <c r="G71" s="219"/>
      <c r="H71" s="302">
        <f t="shared" si="3"/>
        <v>0</v>
      </c>
      <c r="I71" s="219"/>
      <c r="J71" s="220"/>
      <c r="K71" s="303">
        <f t="shared" si="4"/>
        <v>160</v>
      </c>
      <c r="L71" s="303"/>
      <c r="M71" s="303"/>
      <c r="N71" s="303"/>
      <c r="O71" s="303"/>
      <c r="P71" s="303"/>
      <c r="Q71" s="303"/>
      <c r="R71" s="303"/>
      <c r="S71" s="303"/>
    </row>
    <row r="72" spans="1:19" s="221" customFormat="1" hidden="1">
      <c r="A72" s="219"/>
      <c r="B72" s="122" t="str">
        <f t="shared" si="2"/>
        <v xml:space="preserve"> </v>
      </c>
      <c r="C72" s="219"/>
      <c r="D72" s="218"/>
      <c r="E72" s="219"/>
      <c r="F72" s="219"/>
      <c r="G72" s="219"/>
      <c r="H72" s="302">
        <f t="shared" si="3"/>
        <v>0</v>
      </c>
      <c r="I72" s="219"/>
      <c r="J72" s="220"/>
      <c r="K72" s="303">
        <f t="shared" si="4"/>
        <v>161</v>
      </c>
      <c r="L72" s="303"/>
      <c r="M72" s="303"/>
      <c r="N72" s="303"/>
      <c r="O72" s="303"/>
      <c r="P72" s="303"/>
      <c r="Q72" s="303"/>
      <c r="R72" s="303"/>
      <c r="S72" s="303"/>
    </row>
    <row r="73" spans="1:19" s="221" customFormat="1" hidden="1">
      <c r="A73" s="219"/>
      <c r="B73" s="122" t="str">
        <f t="shared" si="2"/>
        <v xml:space="preserve"> </v>
      </c>
      <c r="C73" s="219"/>
      <c r="D73" s="218"/>
      <c r="E73" s="219"/>
      <c r="F73" s="219"/>
      <c r="G73" s="219"/>
      <c r="H73" s="302">
        <f t="shared" si="3"/>
        <v>0</v>
      </c>
      <c r="I73" s="219"/>
      <c r="J73" s="220"/>
      <c r="K73" s="303">
        <f t="shared" si="4"/>
        <v>162</v>
      </c>
      <c r="L73" s="303"/>
      <c r="M73" s="303"/>
      <c r="N73" s="303"/>
      <c r="O73" s="303"/>
      <c r="P73" s="303"/>
      <c r="Q73" s="303"/>
      <c r="R73" s="303"/>
      <c r="S73" s="303"/>
    </row>
    <row r="74" spans="1:19" s="221" customFormat="1" hidden="1">
      <c r="A74" s="219"/>
      <c r="B74" s="122" t="str">
        <f t="shared" si="2"/>
        <v xml:space="preserve"> </v>
      </c>
      <c r="C74" s="219"/>
      <c r="D74" s="218"/>
      <c r="E74" s="219"/>
      <c r="F74" s="219"/>
      <c r="G74" s="219"/>
      <c r="H74" s="302">
        <f t="shared" si="3"/>
        <v>0</v>
      </c>
      <c r="I74" s="219"/>
      <c r="J74" s="220"/>
      <c r="K74" s="303">
        <f t="shared" si="4"/>
        <v>163</v>
      </c>
      <c r="L74" s="303"/>
      <c r="M74" s="303"/>
      <c r="N74" s="303"/>
      <c r="O74" s="303"/>
      <c r="P74" s="303"/>
      <c r="Q74" s="303"/>
      <c r="R74" s="303"/>
      <c r="S74" s="303"/>
    </row>
    <row r="75" spans="1:19" s="221" customFormat="1" hidden="1">
      <c r="A75" s="219"/>
      <c r="B75" s="122" t="str">
        <f t="shared" si="2"/>
        <v xml:space="preserve"> </v>
      </c>
      <c r="C75" s="219"/>
      <c r="D75" s="218"/>
      <c r="E75" s="219"/>
      <c r="F75" s="219"/>
      <c r="G75" s="219"/>
      <c r="H75" s="302">
        <f t="shared" ref="H75:H110" si="5">$F75*$G75</f>
        <v>0</v>
      </c>
      <c r="I75" s="219"/>
      <c r="J75" s="220"/>
      <c r="K75" s="303">
        <f t="shared" si="4"/>
        <v>164</v>
      </c>
      <c r="L75" s="303"/>
      <c r="M75" s="303"/>
      <c r="N75" s="303"/>
      <c r="O75" s="303"/>
      <c r="P75" s="303"/>
      <c r="Q75" s="303"/>
      <c r="R75" s="303"/>
      <c r="S75" s="303"/>
    </row>
    <row r="76" spans="1:19" s="221" customFormat="1" hidden="1">
      <c r="A76" s="219"/>
      <c r="B76" s="122" t="str">
        <f t="shared" si="2"/>
        <v xml:space="preserve"> </v>
      </c>
      <c r="C76" s="219"/>
      <c r="D76" s="218"/>
      <c r="E76" s="219"/>
      <c r="F76" s="219"/>
      <c r="G76" s="219"/>
      <c r="H76" s="302">
        <f t="shared" si="5"/>
        <v>0</v>
      </c>
      <c r="I76" s="219"/>
      <c r="J76" s="220"/>
      <c r="K76" s="303">
        <f t="shared" si="4"/>
        <v>165</v>
      </c>
      <c r="L76" s="303"/>
      <c r="M76" s="303"/>
      <c r="N76" s="303"/>
      <c r="O76" s="303"/>
      <c r="P76" s="303"/>
      <c r="Q76" s="303"/>
      <c r="R76" s="303"/>
      <c r="S76" s="303"/>
    </row>
    <row r="77" spans="1:19" s="221" customFormat="1" hidden="1">
      <c r="A77" s="219"/>
      <c r="B77" s="122" t="str">
        <f t="shared" si="2"/>
        <v xml:space="preserve"> </v>
      </c>
      <c r="C77" s="219"/>
      <c r="D77" s="218"/>
      <c r="E77" s="219"/>
      <c r="F77" s="219"/>
      <c r="G77" s="219"/>
      <c r="H77" s="302">
        <f t="shared" si="5"/>
        <v>0</v>
      </c>
      <c r="I77" s="219"/>
      <c r="J77" s="220"/>
      <c r="K77" s="303">
        <f t="shared" si="4"/>
        <v>166</v>
      </c>
      <c r="L77" s="303"/>
      <c r="M77" s="303"/>
      <c r="N77" s="303"/>
      <c r="O77" s="303"/>
      <c r="P77" s="303"/>
      <c r="Q77" s="303"/>
      <c r="R77" s="303"/>
      <c r="S77" s="303"/>
    </row>
    <row r="78" spans="1:19" s="221" customFormat="1" hidden="1">
      <c r="A78" s="219"/>
      <c r="B78" s="122" t="str">
        <f t="shared" si="2"/>
        <v xml:space="preserve"> </v>
      </c>
      <c r="C78" s="219"/>
      <c r="D78" s="218"/>
      <c r="E78" s="219"/>
      <c r="F78" s="219"/>
      <c r="G78" s="219"/>
      <c r="H78" s="302">
        <f t="shared" si="5"/>
        <v>0</v>
      </c>
      <c r="I78" s="219"/>
      <c r="J78" s="220"/>
      <c r="K78" s="303">
        <f t="shared" si="4"/>
        <v>167</v>
      </c>
      <c r="L78" s="303"/>
      <c r="M78" s="303"/>
      <c r="N78" s="303"/>
      <c r="O78" s="303"/>
      <c r="P78" s="303"/>
      <c r="Q78" s="303"/>
      <c r="R78" s="303"/>
      <c r="S78" s="303"/>
    </row>
    <row r="79" spans="1:19" s="221" customFormat="1" hidden="1">
      <c r="A79" s="219"/>
      <c r="B79" s="122" t="str">
        <f t="shared" si="2"/>
        <v xml:space="preserve"> </v>
      </c>
      <c r="C79" s="219"/>
      <c r="D79" s="218"/>
      <c r="E79" s="219"/>
      <c r="F79" s="219"/>
      <c r="G79" s="219"/>
      <c r="H79" s="302">
        <f t="shared" si="5"/>
        <v>0</v>
      </c>
      <c r="I79" s="219"/>
      <c r="J79" s="220"/>
      <c r="K79" s="303">
        <f t="shared" si="4"/>
        <v>168</v>
      </c>
      <c r="L79" s="303"/>
      <c r="M79" s="303"/>
      <c r="N79" s="303"/>
      <c r="O79" s="303"/>
      <c r="P79" s="303"/>
      <c r="Q79" s="303"/>
      <c r="R79" s="303"/>
      <c r="S79" s="303"/>
    </row>
    <row r="80" spans="1:19" s="221" customFormat="1" hidden="1">
      <c r="A80" s="219"/>
      <c r="B80" s="122" t="str">
        <f t="shared" si="2"/>
        <v xml:space="preserve"> </v>
      </c>
      <c r="C80" s="219"/>
      <c r="D80" s="218"/>
      <c r="E80" s="219"/>
      <c r="F80" s="219"/>
      <c r="G80" s="219"/>
      <c r="H80" s="302">
        <f t="shared" si="5"/>
        <v>0</v>
      </c>
      <c r="I80" s="219"/>
      <c r="J80" s="220"/>
      <c r="K80" s="303">
        <f t="shared" si="4"/>
        <v>169</v>
      </c>
      <c r="L80" s="303"/>
      <c r="M80" s="303"/>
      <c r="N80" s="303"/>
      <c r="O80" s="303"/>
      <c r="P80" s="303"/>
      <c r="Q80" s="303"/>
      <c r="R80" s="303"/>
      <c r="S80" s="303"/>
    </row>
    <row r="81" spans="1:19" s="221" customFormat="1" hidden="1">
      <c r="A81" s="219"/>
      <c r="B81" s="122" t="str">
        <f t="shared" si="2"/>
        <v xml:space="preserve"> </v>
      </c>
      <c r="C81" s="219"/>
      <c r="D81" s="218"/>
      <c r="E81" s="219"/>
      <c r="F81" s="219"/>
      <c r="G81" s="219"/>
      <c r="H81" s="302">
        <f t="shared" si="5"/>
        <v>0</v>
      </c>
      <c r="I81" s="219"/>
      <c r="J81" s="220"/>
      <c r="K81" s="303">
        <f t="shared" si="4"/>
        <v>170</v>
      </c>
      <c r="L81" s="303"/>
      <c r="M81" s="303"/>
      <c r="N81" s="303"/>
      <c r="O81" s="303"/>
      <c r="P81" s="303"/>
      <c r="Q81" s="303"/>
      <c r="R81" s="303"/>
      <c r="S81" s="303"/>
    </row>
    <row r="82" spans="1:19" s="221" customFormat="1" hidden="1">
      <c r="A82" s="219"/>
      <c r="B82" s="122" t="str">
        <f t="shared" si="2"/>
        <v xml:space="preserve"> </v>
      </c>
      <c r="C82" s="219"/>
      <c r="D82" s="218"/>
      <c r="E82" s="219"/>
      <c r="F82" s="219"/>
      <c r="G82" s="219"/>
      <c r="H82" s="302">
        <f t="shared" si="5"/>
        <v>0</v>
      </c>
      <c r="I82" s="219"/>
      <c r="J82" s="220"/>
      <c r="K82" s="303">
        <f t="shared" si="4"/>
        <v>171</v>
      </c>
      <c r="L82" s="303"/>
      <c r="M82" s="303"/>
      <c r="N82" s="303"/>
      <c r="O82" s="303"/>
      <c r="P82" s="303"/>
      <c r="Q82" s="303"/>
      <c r="R82" s="303"/>
      <c r="S82" s="303"/>
    </row>
    <row r="83" spans="1:19" s="221" customFormat="1" hidden="1">
      <c r="A83" s="219"/>
      <c r="B83" s="122" t="str">
        <f t="shared" si="2"/>
        <v xml:space="preserve"> </v>
      </c>
      <c r="C83" s="219"/>
      <c r="D83" s="218"/>
      <c r="E83" s="219"/>
      <c r="F83" s="219"/>
      <c r="G83" s="219"/>
      <c r="H83" s="302">
        <f t="shared" si="5"/>
        <v>0</v>
      </c>
      <c r="I83" s="219"/>
      <c r="J83" s="220"/>
      <c r="K83" s="303">
        <f t="shared" si="4"/>
        <v>172</v>
      </c>
      <c r="L83" s="303"/>
      <c r="M83" s="303"/>
      <c r="N83" s="303"/>
      <c r="O83" s="303"/>
      <c r="P83" s="303"/>
      <c r="Q83" s="303"/>
      <c r="R83" s="303"/>
      <c r="S83" s="303"/>
    </row>
    <row r="84" spans="1:19" s="221" customFormat="1" hidden="1">
      <c r="A84" s="219"/>
      <c r="B84" s="122" t="str">
        <f t="shared" si="2"/>
        <v xml:space="preserve"> </v>
      </c>
      <c r="C84" s="219"/>
      <c r="D84" s="218"/>
      <c r="E84" s="219"/>
      <c r="F84" s="219"/>
      <c r="G84" s="219"/>
      <c r="H84" s="302">
        <f t="shared" si="5"/>
        <v>0</v>
      </c>
      <c r="I84" s="219"/>
      <c r="J84" s="220"/>
      <c r="K84" s="303">
        <f t="shared" si="4"/>
        <v>173</v>
      </c>
      <c r="L84" s="303"/>
      <c r="M84" s="303"/>
      <c r="N84" s="303"/>
      <c r="O84" s="303"/>
      <c r="P84" s="303"/>
      <c r="Q84" s="303"/>
      <c r="R84" s="303"/>
      <c r="S84" s="303"/>
    </row>
    <row r="85" spans="1:19" s="221" customFormat="1" hidden="1">
      <c r="A85" s="219"/>
      <c r="B85" s="122" t="str">
        <f t="shared" si="2"/>
        <v xml:space="preserve"> </v>
      </c>
      <c r="C85" s="219"/>
      <c r="D85" s="218"/>
      <c r="E85" s="219"/>
      <c r="F85" s="219"/>
      <c r="G85" s="219"/>
      <c r="H85" s="302">
        <f t="shared" si="5"/>
        <v>0</v>
      </c>
      <c r="I85" s="219"/>
      <c r="J85" s="220"/>
      <c r="K85" s="303">
        <f t="shared" si="4"/>
        <v>174</v>
      </c>
      <c r="L85" s="303"/>
      <c r="M85" s="303"/>
      <c r="N85" s="303"/>
      <c r="O85" s="303"/>
      <c r="P85" s="303"/>
      <c r="Q85" s="303"/>
      <c r="R85" s="303"/>
      <c r="S85" s="303"/>
    </row>
    <row r="86" spans="1:19" s="221" customFormat="1" hidden="1">
      <c r="A86" s="219"/>
      <c r="B86" s="122" t="str">
        <f t="shared" si="2"/>
        <v xml:space="preserve"> </v>
      </c>
      <c r="C86" s="219"/>
      <c r="D86" s="218"/>
      <c r="E86" s="219"/>
      <c r="F86" s="219"/>
      <c r="G86" s="219"/>
      <c r="H86" s="302">
        <f t="shared" si="5"/>
        <v>0</v>
      </c>
      <c r="I86" s="219"/>
      <c r="J86" s="220"/>
      <c r="K86" s="303">
        <f t="shared" si="4"/>
        <v>175</v>
      </c>
      <c r="L86" s="303"/>
      <c r="M86" s="303"/>
      <c r="N86" s="303"/>
      <c r="O86" s="303"/>
      <c r="P86" s="303"/>
      <c r="Q86" s="303"/>
      <c r="R86" s="303"/>
      <c r="S86" s="303"/>
    </row>
    <row r="87" spans="1:19" s="221" customFormat="1" hidden="1">
      <c r="A87" s="219"/>
      <c r="B87" s="122" t="str">
        <f t="shared" si="2"/>
        <v xml:space="preserve"> </v>
      </c>
      <c r="C87" s="219"/>
      <c r="D87" s="218"/>
      <c r="E87" s="219"/>
      <c r="F87" s="219"/>
      <c r="G87" s="219"/>
      <c r="H87" s="302">
        <f t="shared" si="5"/>
        <v>0</v>
      </c>
      <c r="I87" s="219"/>
      <c r="J87" s="220"/>
      <c r="K87" s="303">
        <f t="shared" si="4"/>
        <v>176</v>
      </c>
      <c r="L87" s="303"/>
      <c r="M87" s="303"/>
      <c r="N87" s="303"/>
      <c r="O87" s="303"/>
      <c r="P87" s="303"/>
      <c r="Q87" s="303"/>
      <c r="R87" s="303"/>
      <c r="S87" s="303"/>
    </row>
    <row r="88" spans="1:19" s="221" customFormat="1" hidden="1">
      <c r="A88" s="219"/>
      <c r="B88" s="122" t="str">
        <f t="shared" si="2"/>
        <v xml:space="preserve"> </v>
      </c>
      <c r="C88" s="219"/>
      <c r="D88" s="218"/>
      <c r="E88" s="219"/>
      <c r="F88" s="219"/>
      <c r="G88" s="219"/>
      <c r="H88" s="302">
        <f t="shared" si="5"/>
        <v>0</v>
      </c>
      <c r="I88" s="219"/>
      <c r="J88" s="220"/>
      <c r="K88" s="303">
        <f t="shared" si="4"/>
        <v>177</v>
      </c>
      <c r="L88" s="303"/>
      <c r="M88" s="303"/>
      <c r="N88" s="303"/>
      <c r="O88" s="303"/>
      <c r="P88" s="303"/>
      <c r="Q88" s="303"/>
      <c r="R88" s="303"/>
      <c r="S88" s="303"/>
    </row>
    <row r="89" spans="1:19" s="221" customFormat="1" hidden="1">
      <c r="A89" s="219"/>
      <c r="B89" s="122" t="str">
        <f t="shared" si="2"/>
        <v xml:space="preserve"> </v>
      </c>
      <c r="C89" s="219"/>
      <c r="D89" s="218"/>
      <c r="E89" s="219"/>
      <c r="F89" s="219"/>
      <c r="G89" s="219"/>
      <c r="H89" s="302">
        <f t="shared" si="5"/>
        <v>0</v>
      </c>
      <c r="I89" s="219"/>
      <c r="J89" s="220"/>
      <c r="K89" s="303">
        <f t="shared" si="4"/>
        <v>178</v>
      </c>
      <c r="L89" s="303"/>
      <c r="M89" s="303"/>
      <c r="N89" s="303"/>
      <c r="O89" s="303"/>
      <c r="P89" s="303"/>
      <c r="Q89" s="303"/>
      <c r="R89" s="303"/>
      <c r="S89" s="303"/>
    </row>
    <row r="90" spans="1:19" s="221" customFormat="1" hidden="1">
      <c r="A90" s="219"/>
      <c r="B90" s="122" t="str">
        <f t="shared" si="2"/>
        <v xml:space="preserve"> </v>
      </c>
      <c r="C90" s="219"/>
      <c r="D90" s="218"/>
      <c r="E90" s="219"/>
      <c r="F90" s="219"/>
      <c r="G90" s="219"/>
      <c r="H90" s="302">
        <f t="shared" si="5"/>
        <v>0</v>
      </c>
      <c r="I90" s="219"/>
      <c r="J90" s="220"/>
      <c r="K90" s="303">
        <f t="shared" si="4"/>
        <v>179</v>
      </c>
      <c r="L90" s="303"/>
      <c r="M90" s="303"/>
      <c r="N90" s="303"/>
      <c r="O90" s="303"/>
      <c r="P90" s="303"/>
      <c r="Q90" s="303"/>
      <c r="R90" s="303"/>
      <c r="S90" s="303"/>
    </row>
    <row r="91" spans="1:19" s="221" customFormat="1" hidden="1">
      <c r="A91" s="219"/>
      <c r="B91" s="122" t="str">
        <f t="shared" si="2"/>
        <v xml:space="preserve"> </v>
      </c>
      <c r="C91" s="219"/>
      <c r="D91" s="218"/>
      <c r="E91" s="219"/>
      <c r="F91" s="219"/>
      <c r="G91" s="219"/>
      <c r="H91" s="302">
        <f t="shared" si="5"/>
        <v>0</v>
      </c>
      <c r="I91" s="219"/>
      <c r="J91" s="220"/>
      <c r="K91" s="303">
        <f t="shared" si="4"/>
        <v>180</v>
      </c>
      <c r="L91" s="303"/>
      <c r="M91" s="303"/>
      <c r="N91" s="303"/>
      <c r="O91" s="303"/>
      <c r="P91" s="303"/>
      <c r="Q91" s="303"/>
      <c r="R91" s="303"/>
      <c r="S91" s="303"/>
    </row>
    <row r="92" spans="1:19" s="221" customFormat="1" hidden="1">
      <c r="A92" s="219"/>
      <c r="B92" s="122" t="str">
        <f t="shared" si="2"/>
        <v xml:space="preserve"> </v>
      </c>
      <c r="C92" s="219"/>
      <c r="D92" s="218"/>
      <c r="E92" s="219"/>
      <c r="F92" s="219"/>
      <c r="G92" s="219"/>
      <c r="H92" s="302">
        <f t="shared" si="5"/>
        <v>0</v>
      </c>
      <c r="I92" s="219"/>
      <c r="J92" s="220"/>
      <c r="K92" s="303">
        <f t="shared" si="4"/>
        <v>181</v>
      </c>
      <c r="L92" s="303"/>
      <c r="M92" s="303"/>
      <c r="N92" s="303"/>
      <c r="O92" s="303"/>
      <c r="P92" s="303"/>
      <c r="Q92" s="303"/>
      <c r="R92" s="303"/>
      <c r="S92" s="303"/>
    </row>
    <row r="93" spans="1:19" s="221" customFormat="1" hidden="1">
      <c r="A93" s="219"/>
      <c r="B93" s="122" t="str">
        <f t="shared" si="2"/>
        <v xml:space="preserve"> </v>
      </c>
      <c r="C93" s="219"/>
      <c r="D93" s="218"/>
      <c r="E93" s="219"/>
      <c r="F93" s="219"/>
      <c r="G93" s="219"/>
      <c r="H93" s="302">
        <f t="shared" si="5"/>
        <v>0</v>
      </c>
      <c r="I93" s="219"/>
      <c r="J93" s="220"/>
      <c r="K93" s="303">
        <f t="shared" ref="K93:K110" si="6">ROW()+89</f>
        <v>182</v>
      </c>
      <c r="L93" s="303"/>
      <c r="M93" s="303"/>
      <c r="N93" s="303"/>
      <c r="O93" s="303"/>
      <c r="P93" s="303"/>
      <c r="Q93" s="303"/>
      <c r="R93" s="303"/>
      <c r="S93" s="303"/>
    </row>
    <row r="94" spans="1:19" s="221" customFormat="1" hidden="1">
      <c r="A94" s="219"/>
      <c r="B94" s="122" t="str">
        <f t="shared" si="2"/>
        <v xml:space="preserve"> </v>
      </c>
      <c r="C94" s="219"/>
      <c r="D94" s="218"/>
      <c r="E94" s="219"/>
      <c r="F94" s="219"/>
      <c r="G94" s="219"/>
      <c r="H94" s="302">
        <f t="shared" si="5"/>
        <v>0</v>
      </c>
      <c r="I94" s="219"/>
      <c r="J94" s="220"/>
      <c r="K94" s="303">
        <f t="shared" si="6"/>
        <v>183</v>
      </c>
      <c r="L94" s="303"/>
      <c r="M94" s="303"/>
      <c r="N94" s="303"/>
      <c r="O94" s="303"/>
      <c r="P94" s="303"/>
      <c r="Q94" s="303"/>
      <c r="R94" s="303"/>
      <c r="S94" s="303"/>
    </row>
    <row r="95" spans="1:19" s="221" customFormat="1" hidden="1">
      <c r="A95" s="219"/>
      <c r="B95" s="122" t="str">
        <f t="shared" si="2"/>
        <v xml:space="preserve"> </v>
      </c>
      <c r="C95" s="219"/>
      <c r="D95" s="218"/>
      <c r="E95" s="219"/>
      <c r="F95" s="219"/>
      <c r="G95" s="219"/>
      <c r="H95" s="302">
        <f t="shared" si="5"/>
        <v>0</v>
      </c>
      <c r="I95" s="219"/>
      <c r="J95" s="220"/>
      <c r="K95" s="303">
        <f t="shared" si="6"/>
        <v>184</v>
      </c>
      <c r="L95" s="303"/>
      <c r="M95" s="303"/>
      <c r="N95" s="303"/>
      <c r="O95" s="303"/>
      <c r="P95" s="303"/>
      <c r="Q95" s="303"/>
      <c r="R95" s="303"/>
      <c r="S95" s="303"/>
    </row>
    <row r="96" spans="1:19" s="221" customFormat="1" hidden="1">
      <c r="A96" s="219"/>
      <c r="B96" s="122" t="str">
        <f t="shared" si="2"/>
        <v xml:space="preserve"> </v>
      </c>
      <c r="C96" s="219"/>
      <c r="D96" s="218"/>
      <c r="E96" s="219"/>
      <c r="F96" s="219"/>
      <c r="G96" s="219"/>
      <c r="H96" s="302">
        <f t="shared" si="5"/>
        <v>0</v>
      </c>
      <c r="I96" s="219"/>
      <c r="J96" s="220"/>
      <c r="K96" s="303">
        <f t="shared" si="6"/>
        <v>185</v>
      </c>
      <c r="L96" s="303"/>
      <c r="M96" s="303"/>
      <c r="N96" s="303"/>
      <c r="O96" s="303"/>
      <c r="P96" s="303"/>
      <c r="Q96" s="303"/>
      <c r="R96" s="303"/>
      <c r="S96" s="303"/>
    </row>
    <row r="97" spans="1:19" s="221" customFormat="1" hidden="1">
      <c r="A97" s="219"/>
      <c r="B97" s="122" t="str">
        <f t="shared" si="2"/>
        <v xml:space="preserve"> </v>
      </c>
      <c r="C97" s="219"/>
      <c r="D97" s="218"/>
      <c r="E97" s="219"/>
      <c r="F97" s="219"/>
      <c r="G97" s="219"/>
      <c r="H97" s="302">
        <f t="shared" si="5"/>
        <v>0</v>
      </c>
      <c r="I97" s="219"/>
      <c r="J97" s="220"/>
      <c r="K97" s="303">
        <f t="shared" si="6"/>
        <v>186</v>
      </c>
      <c r="L97" s="303"/>
      <c r="M97" s="303"/>
      <c r="N97" s="303"/>
      <c r="O97" s="303"/>
      <c r="P97" s="303"/>
      <c r="Q97" s="303"/>
      <c r="R97" s="303"/>
      <c r="S97" s="303"/>
    </row>
    <row r="98" spans="1:19" s="221" customFormat="1" hidden="1">
      <c r="A98" s="219"/>
      <c r="B98" s="122" t="str">
        <f t="shared" si="2"/>
        <v xml:space="preserve"> </v>
      </c>
      <c r="C98" s="219"/>
      <c r="D98" s="218"/>
      <c r="E98" s="219"/>
      <c r="F98" s="219"/>
      <c r="G98" s="219"/>
      <c r="H98" s="302">
        <f t="shared" si="5"/>
        <v>0</v>
      </c>
      <c r="I98" s="219"/>
      <c r="J98" s="220"/>
      <c r="K98" s="303">
        <f t="shared" si="6"/>
        <v>187</v>
      </c>
      <c r="L98" s="303"/>
      <c r="M98" s="303"/>
      <c r="N98" s="303"/>
      <c r="O98" s="303"/>
      <c r="P98" s="303"/>
      <c r="Q98" s="303"/>
      <c r="R98" s="303"/>
      <c r="S98" s="303"/>
    </row>
    <row r="99" spans="1:19" s="221" customFormat="1" hidden="1">
      <c r="A99" s="219"/>
      <c r="B99" s="122" t="str">
        <f t="shared" si="2"/>
        <v xml:space="preserve"> </v>
      </c>
      <c r="C99" s="219"/>
      <c r="D99" s="218"/>
      <c r="E99" s="219"/>
      <c r="F99" s="219"/>
      <c r="G99" s="219"/>
      <c r="H99" s="302">
        <f t="shared" si="5"/>
        <v>0</v>
      </c>
      <c r="I99" s="219"/>
      <c r="J99" s="220"/>
      <c r="K99" s="303">
        <f t="shared" si="6"/>
        <v>188</v>
      </c>
      <c r="L99" s="303"/>
      <c r="M99" s="303"/>
      <c r="N99" s="303"/>
      <c r="O99" s="303"/>
      <c r="P99" s="303"/>
      <c r="Q99" s="303"/>
      <c r="R99" s="303"/>
      <c r="S99" s="303"/>
    </row>
    <row r="100" spans="1:19" s="221" customFormat="1" hidden="1">
      <c r="A100" s="219"/>
      <c r="B100" s="122" t="str">
        <f t="shared" si="2"/>
        <v xml:space="preserve"> </v>
      </c>
      <c r="C100" s="219"/>
      <c r="D100" s="218"/>
      <c r="E100" s="219"/>
      <c r="F100" s="219"/>
      <c r="G100" s="219"/>
      <c r="H100" s="302">
        <f t="shared" si="5"/>
        <v>0</v>
      </c>
      <c r="I100" s="219"/>
      <c r="J100" s="220"/>
      <c r="K100" s="303">
        <f t="shared" si="6"/>
        <v>189</v>
      </c>
      <c r="L100" s="303"/>
      <c r="M100" s="303"/>
      <c r="N100" s="303"/>
      <c r="O100" s="303"/>
      <c r="P100" s="303"/>
      <c r="Q100" s="303"/>
      <c r="R100" s="303"/>
      <c r="S100" s="303"/>
    </row>
    <row r="101" spans="1:19" s="221" customFormat="1" hidden="1">
      <c r="A101" s="219"/>
      <c r="B101" s="122" t="str">
        <f t="shared" si="2"/>
        <v xml:space="preserve"> </v>
      </c>
      <c r="C101" s="219"/>
      <c r="D101" s="218"/>
      <c r="E101" s="219"/>
      <c r="F101" s="219"/>
      <c r="G101" s="219"/>
      <c r="H101" s="302">
        <f t="shared" si="5"/>
        <v>0</v>
      </c>
      <c r="I101" s="219"/>
      <c r="J101" s="220"/>
      <c r="K101" s="303">
        <f t="shared" si="6"/>
        <v>190</v>
      </c>
      <c r="L101" s="303"/>
      <c r="M101" s="303"/>
      <c r="N101" s="303"/>
      <c r="O101" s="303"/>
      <c r="P101" s="303"/>
      <c r="Q101" s="303"/>
      <c r="R101" s="303"/>
      <c r="S101" s="303"/>
    </row>
    <row r="102" spans="1:19" s="221" customFormat="1" hidden="1">
      <c r="A102" s="219"/>
      <c r="B102" s="122" t="str">
        <f t="shared" si="2"/>
        <v xml:space="preserve"> </v>
      </c>
      <c r="C102" s="219"/>
      <c r="D102" s="218"/>
      <c r="E102" s="219"/>
      <c r="F102" s="219"/>
      <c r="G102" s="219"/>
      <c r="H102" s="302">
        <f t="shared" si="5"/>
        <v>0</v>
      </c>
      <c r="I102" s="219"/>
      <c r="J102" s="220"/>
      <c r="K102" s="303">
        <f t="shared" si="6"/>
        <v>191</v>
      </c>
      <c r="L102" s="303"/>
      <c r="M102" s="303"/>
      <c r="N102" s="303"/>
      <c r="O102" s="303"/>
      <c r="P102" s="303"/>
      <c r="Q102" s="303"/>
      <c r="R102" s="303"/>
      <c r="S102" s="303"/>
    </row>
    <row r="103" spans="1:19" s="221" customFormat="1" hidden="1">
      <c r="A103" s="219"/>
      <c r="B103" s="122" t="str">
        <f t="shared" si="2"/>
        <v xml:space="preserve"> </v>
      </c>
      <c r="C103" s="219"/>
      <c r="D103" s="218"/>
      <c r="E103" s="219"/>
      <c r="F103" s="219"/>
      <c r="G103" s="219"/>
      <c r="H103" s="302">
        <f t="shared" si="5"/>
        <v>0</v>
      </c>
      <c r="I103" s="219"/>
      <c r="J103" s="220"/>
      <c r="K103" s="303">
        <f t="shared" si="6"/>
        <v>192</v>
      </c>
      <c r="L103" s="303"/>
      <c r="M103" s="303"/>
      <c r="N103" s="303"/>
      <c r="O103" s="303"/>
      <c r="P103" s="303"/>
      <c r="Q103" s="303"/>
      <c r="R103" s="303"/>
      <c r="S103" s="303"/>
    </row>
    <row r="104" spans="1:19" s="221" customFormat="1" hidden="1">
      <c r="A104" s="219"/>
      <c r="B104" s="122" t="str">
        <f t="shared" si="2"/>
        <v xml:space="preserve"> </v>
      </c>
      <c r="C104" s="219"/>
      <c r="D104" s="218"/>
      <c r="E104" s="219"/>
      <c r="F104" s="219"/>
      <c r="G104" s="219"/>
      <c r="H104" s="302">
        <f t="shared" si="5"/>
        <v>0</v>
      </c>
      <c r="I104" s="219"/>
      <c r="J104" s="220"/>
      <c r="K104" s="303">
        <f t="shared" si="6"/>
        <v>193</v>
      </c>
      <c r="L104" s="303"/>
      <c r="M104" s="303"/>
      <c r="N104" s="303"/>
      <c r="O104" s="303"/>
      <c r="P104" s="303"/>
      <c r="Q104" s="303"/>
      <c r="R104" s="303"/>
      <c r="S104" s="303"/>
    </row>
    <row r="105" spans="1:19" s="221" customFormat="1" hidden="1">
      <c r="A105" s="219"/>
      <c r="B105" s="122" t="str">
        <f t="shared" si="2"/>
        <v xml:space="preserve"> </v>
      </c>
      <c r="C105" s="219"/>
      <c r="D105" s="218"/>
      <c r="E105" s="219"/>
      <c r="F105" s="219"/>
      <c r="G105" s="219"/>
      <c r="H105" s="302">
        <f t="shared" si="5"/>
        <v>0</v>
      </c>
      <c r="I105" s="219"/>
      <c r="J105" s="220"/>
      <c r="K105" s="303">
        <f t="shared" si="6"/>
        <v>194</v>
      </c>
      <c r="L105" s="303"/>
      <c r="M105" s="303"/>
      <c r="N105" s="303"/>
      <c r="O105" s="303"/>
      <c r="P105" s="303"/>
      <c r="Q105" s="303"/>
      <c r="R105" s="303"/>
      <c r="S105" s="303"/>
    </row>
    <row r="106" spans="1:19" s="221" customFormat="1" hidden="1">
      <c r="A106" s="219"/>
      <c r="B106" s="122" t="str">
        <f t="shared" si="2"/>
        <v xml:space="preserve"> </v>
      </c>
      <c r="C106" s="219"/>
      <c r="D106" s="218"/>
      <c r="E106" s="219"/>
      <c r="F106" s="219"/>
      <c r="G106" s="219"/>
      <c r="H106" s="302">
        <f t="shared" si="5"/>
        <v>0</v>
      </c>
      <c r="I106" s="219"/>
      <c r="J106" s="220"/>
      <c r="K106" s="303">
        <f t="shared" si="6"/>
        <v>195</v>
      </c>
      <c r="L106" s="303"/>
      <c r="M106" s="303"/>
      <c r="N106" s="303"/>
      <c r="O106" s="303"/>
      <c r="P106" s="303"/>
      <c r="Q106" s="303"/>
      <c r="R106" s="303"/>
      <c r="S106" s="303"/>
    </row>
    <row r="107" spans="1:19" s="221" customFormat="1" hidden="1">
      <c r="A107" s="219"/>
      <c r="B107" s="122" t="str">
        <f t="shared" si="2"/>
        <v xml:space="preserve"> </v>
      </c>
      <c r="C107" s="219"/>
      <c r="D107" s="218"/>
      <c r="E107" s="219"/>
      <c r="F107" s="219"/>
      <c r="G107" s="219"/>
      <c r="H107" s="302">
        <f t="shared" si="5"/>
        <v>0</v>
      </c>
      <c r="I107" s="219"/>
      <c r="J107" s="220"/>
      <c r="K107" s="303">
        <f t="shared" si="6"/>
        <v>196</v>
      </c>
      <c r="L107" s="303"/>
      <c r="M107" s="303"/>
      <c r="N107" s="303"/>
      <c r="O107" s="303"/>
      <c r="P107" s="303"/>
      <c r="Q107" s="303"/>
      <c r="R107" s="303"/>
      <c r="S107" s="303"/>
    </row>
    <row r="108" spans="1:19" s="221" customFormat="1" hidden="1">
      <c r="A108" s="219"/>
      <c r="B108" s="122" t="str">
        <f t="shared" si="2"/>
        <v xml:space="preserve"> </v>
      </c>
      <c r="C108" s="219"/>
      <c r="D108" s="218"/>
      <c r="E108" s="219"/>
      <c r="F108" s="219"/>
      <c r="G108" s="219"/>
      <c r="H108" s="302">
        <f t="shared" si="5"/>
        <v>0</v>
      </c>
      <c r="I108" s="219"/>
      <c r="J108" s="220"/>
      <c r="K108" s="303">
        <f t="shared" si="6"/>
        <v>197</v>
      </c>
      <c r="L108" s="303"/>
      <c r="M108" s="303"/>
      <c r="N108" s="303"/>
      <c r="O108" s="303"/>
      <c r="P108" s="303"/>
      <c r="Q108" s="303"/>
      <c r="R108" s="303"/>
      <c r="S108" s="303"/>
    </row>
    <row r="109" spans="1:19" s="221" customFormat="1" hidden="1">
      <c r="A109" s="219"/>
      <c r="B109" s="122" t="str">
        <f t="shared" si="2"/>
        <v xml:space="preserve"> </v>
      </c>
      <c r="C109" s="219"/>
      <c r="D109" s="218"/>
      <c r="E109" s="219"/>
      <c r="F109" s="219"/>
      <c r="G109" s="219"/>
      <c r="H109" s="302">
        <f t="shared" si="5"/>
        <v>0</v>
      </c>
      <c r="I109" s="219"/>
      <c r="J109" s="220"/>
      <c r="K109" s="303">
        <f t="shared" si="6"/>
        <v>198</v>
      </c>
      <c r="L109" s="303"/>
      <c r="M109" s="303"/>
      <c r="N109" s="303"/>
      <c r="O109" s="303"/>
      <c r="P109" s="303"/>
      <c r="Q109" s="303"/>
      <c r="R109" s="303"/>
      <c r="S109" s="303"/>
    </row>
    <row r="110" spans="1:19" s="221" customFormat="1" hidden="1">
      <c r="A110" s="219"/>
      <c r="B110" s="122" t="str">
        <f t="shared" si="2"/>
        <v xml:space="preserve"> </v>
      </c>
      <c r="C110" s="219"/>
      <c r="D110" s="218"/>
      <c r="E110" s="219"/>
      <c r="F110" s="219"/>
      <c r="G110" s="219"/>
      <c r="H110" s="302">
        <f t="shared" si="5"/>
        <v>0</v>
      </c>
      <c r="I110" s="219"/>
      <c r="J110" s="220"/>
      <c r="K110" s="303">
        <f t="shared" si="6"/>
        <v>199</v>
      </c>
      <c r="L110" s="303"/>
      <c r="M110" s="303"/>
      <c r="N110" s="303"/>
      <c r="O110" s="303"/>
      <c r="P110" s="303"/>
      <c r="Q110" s="303"/>
      <c r="R110" s="303"/>
      <c r="S110" s="303"/>
    </row>
    <row r="111" spans="1:19" s="121" customFormat="1">
      <c r="A111" s="304" t="s">
        <v>644</v>
      </c>
      <c r="B111" s="304" t="str">
        <f t="shared" si="2"/>
        <v xml:space="preserve"> </v>
      </c>
      <c r="C111" s="304"/>
      <c r="D111" s="292"/>
      <c r="E111" s="294"/>
      <c r="F111" s="294"/>
      <c r="G111" s="294"/>
      <c r="H111" s="294">
        <f>SUM(H11:H110)</f>
        <v>-1325569.4282</v>
      </c>
      <c r="I111" s="294"/>
      <c r="J111" s="295"/>
      <c r="K111" s="213" t="s">
        <v>1166</v>
      </c>
      <c r="L111" s="213"/>
      <c r="M111" s="213"/>
      <c r="N111" s="213"/>
      <c r="O111" s="213"/>
      <c r="P111" s="213"/>
      <c r="Q111" s="213"/>
      <c r="R111" s="213"/>
      <c r="S111" s="213"/>
    </row>
    <row r="112" spans="1:19">
      <c r="A112" s="138"/>
      <c r="B112" s="138" t="str">
        <f t="shared" si="2"/>
        <v xml:space="preserve"> </v>
      </c>
      <c r="C112" s="138"/>
      <c r="D112" s="138"/>
      <c r="E112" s="138"/>
      <c r="F112" s="138"/>
      <c r="G112" s="138"/>
      <c r="H112" s="138"/>
      <c r="I112" s="138"/>
      <c r="J112" s="138"/>
      <c r="K112" s="138"/>
      <c r="L112" s="138"/>
      <c r="M112" s="138"/>
      <c r="N112" s="138"/>
      <c r="O112" s="138"/>
      <c r="P112" s="138"/>
      <c r="Q112" s="138"/>
      <c r="R112" s="138"/>
      <c r="S112" s="138"/>
    </row>
    <row r="113" spans="1:19">
      <c r="A113" s="138"/>
      <c r="B113" s="138" t="str">
        <f t="shared" si="2"/>
        <v xml:space="preserve"> </v>
      </c>
      <c r="C113" s="138"/>
      <c r="D113" s="138"/>
      <c r="E113" s="138"/>
      <c r="F113" s="138"/>
      <c r="G113" s="138"/>
      <c r="H113" s="138"/>
      <c r="I113" s="138"/>
      <c r="J113" s="138"/>
      <c r="K113" s="138"/>
      <c r="L113" s="138"/>
      <c r="M113" s="138"/>
      <c r="N113" s="138"/>
      <c r="O113" s="138"/>
      <c r="P113" s="138"/>
      <c r="Q113" s="138"/>
      <c r="R113" s="138"/>
      <c r="S113" s="138"/>
    </row>
    <row r="114" spans="1:19" ht="17.7">
      <c r="A114" s="142" t="s">
        <v>643</v>
      </c>
      <c r="B114" s="142" t="str">
        <f t="shared" si="2"/>
        <v xml:space="preserve"> </v>
      </c>
      <c r="C114" s="142"/>
      <c r="D114" s="138"/>
      <c r="E114" s="138"/>
      <c r="F114" s="138"/>
      <c r="G114" s="138"/>
      <c r="H114" s="138"/>
      <c r="I114" s="138"/>
      <c r="J114" s="138"/>
      <c r="K114" s="138"/>
      <c r="L114" s="138"/>
      <c r="M114" s="138"/>
      <c r="N114" s="138"/>
      <c r="O114" s="138"/>
      <c r="P114" s="138"/>
      <c r="Q114" s="138"/>
      <c r="R114" s="138"/>
      <c r="S114" s="138"/>
    </row>
    <row r="115" spans="1:19">
      <c r="A115" s="138"/>
      <c r="B115" s="138" t="str">
        <f t="shared" si="2"/>
        <v xml:space="preserve"> </v>
      </c>
      <c r="C115" s="138"/>
      <c r="D115" s="138"/>
      <c r="E115" s="138"/>
      <c r="F115" s="138"/>
      <c r="G115" s="138"/>
      <c r="H115" s="138"/>
      <c r="I115" s="138"/>
      <c r="J115" s="138"/>
      <c r="K115" s="138"/>
      <c r="L115" s="138"/>
      <c r="M115" s="138"/>
      <c r="N115" s="138"/>
      <c r="O115" s="138"/>
      <c r="P115" s="138"/>
      <c r="Q115" s="138"/>
      <c r="R115" s="138"/>
      <c r="S115" s="138"/>
    </row>
    <row r="116" spans="1:19">
      <c r="A116" s="138"/>
      <c r="B116" s="138" t="str">
        <f t="shared" si="2"/>
        <v xml:space="preserve"> </v>
      </c>
      <c r="C116" s="138"/>
      <c r="D116" s="808" t="s">
        <v>643</v>
      </c>
      <c r="E116" s="809"/>
      <c r="F116" s="809"/>
      <c r="G116" s="809"/>
      <c r="H116" s="809"/>
      <c r="I116" s="809"/>
      <c r="J116" s="810"/>
      <c r="K116" s="138"/>
      <c r="L116" s="138"/>
      <c r="M116" s="138"/>
      <c r="N116" s="138"/>
      <c r="O116" s="138"/>
      <c r="P116" s="138"/>
      <c r="Q116" s="138"/>
      <c r="R116" s="138"/>
      <c r="S116" s="138"/>
    </row>
    <row r="117" spans="1:19" ht="43.2">
      <c r="A117" s="285" t="s">
        <v>973</v>
      </c>
      <c r="B117" s="285" t="str">
        <f t="shared" si="2"/>
        <v xml:space="preserve"> </v>
      </c>
      <c r="C117" s="285" t="s">
        <v>637</v>
      </c>
      <c r="D117" s="297" t="s">
        <v>972</v>
      </c>
      <c r="E117" s="285" t="s">
        <v>1147</v>
      </c>
      <c r="F117" s="285" t="s">
        <v>977</v>
      </c>
      <c r="G117" s="285" t="s">
        <v>982</v>
      </c>
      <c r="H117" s="285" t="s">
        <v>986</v>
      </c>
      <c r="I117" s="285" t="s">
        <v>978</v>
      </c>
      <c r="J117" s="298" t="s">
        <v>979</v>
      </c>
      <c r="K117" s="138" t="s">
        <v>1162</v>
      </c>
      <c r="L117" s="138"/>
      <c r="M117" s="138"/>
      <c r="N117" s="138"/>
      <c r="O117" s="138"/>
      <c r="P117" s="138"/>
      <c r="Q117" s="138"/>
      <c r="R117" s="138"/>
      <c r="S117" s="138"/>
    </row>
    <row r="118" spans="1:19" hidden="1">
      <c r="A118" s="299"/>
      <c r="B118" s="299" t="str">
        <f t="shared" si="2"/>
        <v xml:space="preserve"> </v>
      </c>
      <c r="C118" s="299"/>
      <c r="D118" s="300"/>
      <c r="E118" s="289"/>
      <c r="F118" s="289"/>
      <c r="G118" s="289"/>
      <c r="H118" s="289"/>
      <c r="I118" s="289"/>
      <c r="J118" s="301"/>
      <c r="K118" s="138" t="s">
        <v>1169</v>
      </c>
      <c r="L118" s="138"/>
      <c r="M118" s="138"/>
      <c r="N118" s="138"/>
      <c r="O118" s="138"/>
      <c r="P118" s="138"/>
      <c r="Q118" s="138"/>
      <c r="R118" s="138"/>
      <c r="S118" s="138"/>
    </row>
    <row r="119" spans="1:19" ht="18.850000000000001" customHeight="1">
      <c r="A119" s="219" t="s">
        <v>974</v>
      </c>
      <c r="B119" s="122" t="str">
        <f t="shared" si="2"/>
        <v xml:space="preserve"> </v>
      </c>
      <c r="C119" s="219" t="s">
        <v>1900</v>
      </c>
      <c r="D119" s="218" t="s">
        <v>15</v>
      </c>
      <c r="E119" s="219"/>
      <c r="F119" s="219">
        <v>-0.76923076923076905</v>
      </c>
      <c r="G119" s="219">
        <v>3146</v>
      </c>
      <c r="H119" s="302">
        <f t="shared" ref="H119:H150" si="7">$F119*$G119</f>
        <v>-2419.9999999999995</v>
      </c>
      <c r="I119" s="219" t="s">
        <v>1910</v>
      </c>
      <c r="J119" s="220" t="s">
        <v>1917</v>
      </c>
      <c r="K119" s="303">
        <v>100</v>
      </c>
      <c r="L119" s="138"/>
      <c r="M119" s="138"/>
      <c r="N119" s="138"/>
      <c r="O119" s="138"/>
      <c r="P119" s="138"/>
      <c r="Q119" s="138"/>
      <c r="R119" s="138"/>
      <c r="S119" s="138"/>
    </row>
    <row r="120" spans="1:19" ht="18.850000000000001" customHeight="1">
      <c r="A120" s="219" t="s">
        <v>974</v>
      </c>
      <c r="B120" s="122" t="str">
        <f t="shared" si="2"/>
        <v xml:space="preserve"> </v>
      </c>
      <c r="C120" s="219" t="s">
        <v>1901</v>
      </c>
      <c r="D120" s="218" t="s">
        <v>15</v>
      </c>
      <c r="E120" s="219"/>
      <c r="F120" s="219">
        <v>-2.3076923076923102</v>
      </c>
      <c r="G120" s="219">
        <v>3146</v>
      </c>
      <c r="H120" s="302">
        <f t="shared" si="7"/>
        <v>-7260.0000000000082</v>
      </c>
      <c r="I120" s="219" t="s">
        <v>1910</v>
      </c>
      <c r="J120" s="220" t="s">
        <v>1917</v>
      </c>
      <c r="K120" s="303">
        <v>101</v>
      </c>
      <c r="L120" s="138"/>
      <c r="M120" s="138"/>
      <c r="N120" s="138"/>
      <c r="O120" s="138"/>
      <c r="P120" s="138"/>
      <c r="Q120" s="138"/>
      <c r="R120" s="138"/>
      <c r="S120" s="138"/>
    </row>
    <row r="121" spans="1:19" ht="18.850000000000001" customHeight="1">
      <c r="A121" s="219" t="s">
        <v>974</v>
      </c>
      <c r="B121" s="122" t="str">
        <f t="shared" si="2"/>
        <v xml:space="preserve"> </v>
      </c>
      <c r="C121" s="219" t="s">
        <v>1904</v>
      </c>
      <c r="D121" s="218" t="s">
        <v>15</v>
      </c>
      <c r="E121" s="219"/>
      <c r="F121" s="219">
        <v>-2.3076923076923102</v>
      </c>
      <c r="G121" s="219">
        <v>3146</v>
      </c>
      <c r="H121" s="302">
        <f t="shared" si="7"/>
        <v>-7260.0000000000082</v>
      </c>
      <c r="I121" s="219" t="s">
        <v>1910</v>
      </c>
      <c r="J121" s="220" t="s">
        <v>1917</v>
      </c>
      <c r="K121" s="303">
        <v>102</v>
      </c>
      <c r="L121" s="138"/>
      <c r="M121" s="138"/>
      <c r="N121" s="138"/>
      <c r="O121" s="138"/>
      <c r="P121" s="138"/>
      <c r="Q121" s="138"/>
      <c r="R121" s="138"/>
      <c r="S121" s="138"/>
    </row>
    <row r="122" spans="1:19" ht="18.850000000000001" customHeight="1">
      <c r="A122" s="219" t="s">
        <v>974</v>
      </c>
      <c r="B122" s="122" t="str">
        <f t="shared" si="2"/>
        <v xml:space="preserve"> </v>
      </c>
      <c r="C122" s="219" t="s">
        <v>1906</v>
      </c>
      <c r="D122" s="218" t="s">
        <v>15</v>
      </c>
      <c r="E122" s="219"/>
      <c r="F122" s="219">
        <v>-1.5384615384615401</v>
      </c>
      <c r="G122" s="219">
        <v>3146</v>
      </c>
      <c r="H122" s="302">
        <f t="shared" si="7"/>
        <v>-4840.0000000000055</v>
      </c>
      <c r="I122" s="219" t="s">
        <v>1910</v>
      </c>
      <c r="J122" s="220" t="s">
        <v>1917</v>
      </c>
      <c r="K122" s="303">
        <v>103</v>
      </c>
      <c r="L122" s="138"/>
      <c r="M122" s="138"/>
      <c r="N122" s="138"/>
      <c r="O122" s="138"/>
      <c r="P122" s="138"/>
      <c r="Q122" s="138"/>
      <c r="R122" s="138"/>
      <c r="S122" s="138"/>
    </row>
    <row r="123" spans="1:19" ht="18.850000000000001" customHeight="1">
      <c r="A123" s="219" t="s">
        <v>974</v>
      </c>
      <c r="B123" s="122" t="str">
        <f t="shared" ref="B123:B156" si="8">IF($A123="Other","&lt;Please specify&gt;"," ")</f>
        <v xml:space="preserve"> </v>
      </c>
      <c r="C123" s="219" t="s">
        <v>1907</v>
      </c>
      <c r="D123" s="218" t="s">
        <v>15</v>
      </c>
      <c r="E123" s="219"/>
      <c r="F123" s="219">
        <v>-1.5384615384615401</v>
      </c>
      <c r="G123" s="219">
        <v>3146</v>
      </c>
      <c r="H123" s="302">
        <f t="shared" si="7"/>
        <v>-4840.0000000000055</v>
      </c>
      <c r="I123" s="219" t="s">
        <v>1910</v>
      </c>
      <c r="J123" s="220" t="s">
        <v>1917</v>
      </c>
      <c r="K123" s="303">
        <v>104</v>
      </c>
      <c r="L123" s="138"/>
      <c r="M123" s="138"/>
      <c r="N123" s="138"/>
      <c r="O123" s="138"/>
      <c r="P123" s="138"/>
      <c r="Q123" s="138"/>
      <c r="R123" s="138"/>
      <c r="S123" s="138"/>
    </row>
    <row r="124" spans="1:19" ht="18.850000000000001" customHeight="1">
      <c r="A124" s="219" t="s">
        <v>974</v>
      </c>
      <c r="B124" s="122" t="str">
        <f t="shared" si="8"/>
        <v xml:space="preserve"> </v>
      </c>
      <c r="C124" s="219" t="s">
        <v>1908</v>
      </c>
      <c r="D124" s="218" t="s">
        <v>15</v>
      </c>
      <c r="E124" s="219"/>
      <c r="F124" s="219">
        <v>-0.76923076923076905</v>
      </c>
      <c r="G124" s="219">
        <v>3146</v>
      </c>
      <c r="H124" s="302">
        <f t="shared" si="7"/>
        <v>-2419.9999999999995</v>
      </c>
      <c r="I124" s="219" t="s">
        <v>1910</v>
      </c>
      <c r="J124" s="220" t="s">
        <v>1917</v>
      </c>
      <c r="K124" s="303">
        <v>105</v>
      </c>
      <c r="L124" s="138"/>
      <c r="M124" s="138"/>
      <c r="N124" s="138"/>
      <c r="O124" s="138"/>
      <c r="P124" s="138"/>
      <c r="Q124" s="138"/>
      <c r="R124" s="138"/>
      <c r="S124" s="138"/>
    </row>
    <row r="125" spans="1:19" ht="18.850000000000001" customHeight="1">
      <c r="A125" s="219" t="s">
        <v>974</v>
      </c>
      <c r="B125" s="122" t="str">
        <f t="shared" si="8"/>
        <v xml:space="preserve"> </v>
      </c>
      <c r="C125" s="219" t="s">
        <v>1909</v>
      </c>
      <c r="D125" s="218" t="s">
        <v>15</v>
      </c>
      <c r="E125" s="219"/>
      <c r="F125" s="219">
        <v>-0.76923076923076905</v>
      </c>
      <c r="G125" s="219">
        <v>3146</v>
      </c>
      <c r="H125" s="302">
        <f t="shared" si="7"/>
        <v>-2419.9999999999995</v>
      </c>
      <c r="I125" s="219" t="s">
        <v>1910</v>
      </c>
      <c r="J125" s="220" t="s">
        <v>1917</v>
      </c>
      <c r="K125" s="303">
        <v>106</v>
      </c>
      <c r="L125" s="138"/>
      <c r="M125" s="138"/>
      <c r="N125" s="138"/>
      <c r="O125" s="138"/>
      <c r="P125" s="138"/>
      <c r="Q125" s="138"/>
      <c r="R125" s="138"/>
      <c r="S125" s="138"/>
    </row>
    <row r="126" spans="1:19" ht="18.850000000000001" customHeight="1">
      <c r="A126" s="219" t="s">
        <v>975</v>
      </c>
      <c r="B126" s="122" t="str">
        <f t="shared" si="8"/>
        <v xml:space="preserve"> </v>
      </c>
      <c r="C126" s="219" t="s">
        <v>1901</v>
      </c>
      <c r="D126" s="218" t="s">
        <v>15</v>
      </c>
      <c r="E126" s="219"/>
      <c r="F126" s="219">
        <v>-5.25</v>
      </c>
      <c r="G126" s="219">
        <v>1245.1244000000002</v>
      </c>
      <c r="H126" s="302">
        <f t="shared" si="7"/>
        <v>-6536.9031000000004</v>
      </c>
      <c r="I126" s="219" t="s">
        <v>1910</v>
      </c>
      <c r="J126" s="220" t="s">
        <v>1917</v>
      </c>
      <c r="K126" s="303">
        <v>107</v>
      </c>
      <c r="L126" s="138"/>
      <c r="M126" s="138"/>
      <c r="N126" s="138"/>
      <c r="O126" s="138"/>
      <c r="P126" s="138"/>
      <c r="Q126" s="138"/>
      <c r="R126" s="138"/>
      <c r="S126" s="138"/>
    </row>
    <row r="127" spans="1:19" ht="18.850000000000001" customHeight="1">
      <c r="A127" s="219" t="s">
        <v>975</v>
      </c>
      <c r="B127" s="122" t="str">
        <f t="shared" si="8"/>
        <v xml:space="preserve"> </v>
      </c>
      <c r="C127" s="219" t="s">
        <v>1903</v>
      </c>
      <c r="D127" s="218" t="s">
        <v>15</v>
      </c>
      <c r="E127" s="219"/>
      <c r="F127" s="219">
        <v>-2.625</v>
      </c>
      <c r="G127" s="219">
        <v>1245.1244000000002</v>
      </c>
      <c r="H127" s="302">
        <f t="shared" si="7"/>
        <v>-3268.4515500000002</v>
      </c>
      <c r="I127" s="219" t="s">
        <v>1910</v>
      </c>
      <c r="J127" s="220" t="s">
        <v>1917</v>
      </c>
      <c r="K127" s="303">
        <v>108</v>
      </c>
      <c r="L127" s="138"/>
      <c r="M127" s="138"/>
      <c r="N127" s="138"/>
      <c r="O127" s="138"/>
      <c r="P127" s="138"/>
      <c r="Q127" s="138"/>
      <c r="R127" s="138"/>
      <c r="S127" s="138"/>
    </row>
    <row r="128" spans="1:19" ht="18.850000000000001" customHeight="1">
      <c r="A128" s="219" t="s">
        <v>975</v>
      </c>
      <c r="B128" s="122" t="str">
        <f t="shared" si="8"/>
        <v xml:space="preserve"> </v>
      </c>
      <c r="C128" s="219" t="s">
        <v>1904</v>
      </c>
      <c r="D128" s="218" t="s">
        <v>15</v>
      </c>
      <c r="E128" s="219"/>
      <c r="F128" s="219">
        <v>-2.625</v>
      </c>
      <c r="G128" s="219">
        <v>1245.1244000000002</v>
      </c>
      <c r="H128" s="302">
        <f t="shared" si="7"/>
        <v>-3268.4515500000002</v>
      </c>
      <c r="I128" s="219" t="s">
        <v>1910</v>
      </c>
      <c r="J128" s="220" t="s">
        <v>1917</v>
      </c>
      <c r="K128" s="303">
        <v>109</v>
      </c>
      <c r="L128" s="138"/>
      <c r="M128" s="138"/>
      <c r="N128" s="138"/>
      <c r="O128" s="138"/>
      <c r="P128" s="138"/>
      <c r="Q128" s="138"/>
      <c r="R128" s="138"/>
      <c r="S128" s="138"/>
    </row>
    <row r="129" spans="1:19" ht="18.850000000000001" customHeight="1">
      <c r="A129" s="219" t="s">
        <v>975</v>
      </c>
      <c r="B129" s="122" t="str">
        <f t="shared" si="8"/>
        <v xml:space="preserve"> </v>
      </c>
      <c r="C129" s="219" t="s">
        <v>1906</v>
      </c>
      <c r="D129" s="218" t="s">
        <v>15</v>
      </c>
      <c r="E129" s="219"/>
      <c r="F129" s="219">
        <v>-2.625</v>
      </c>
      <c r="G129" s="219">
        <v>1245.1244000000002</v>
      </c>
      <c r="H129" s="302">
        <f t="shared" si="7"/>
        <v>-3268.4515500000002</v>
      </c>
      <c r="I129" s="219" t="s">
        <v>1910</v>
      </c>
      <c r="J129" s="220" t="s">
        <v>1917</v>
      </c>
      <c r="K129" s="303">
        <v>110</v>
      </c>
      <c r="L129" s="138"/>
      <c r="M129" s="138"/>
      <c r="N129" s="138"/>
      <c r="O129" s="138"/>
      <c r="P129" s="138"/>
      <c r="Q129" s="138"/>
      <c r="R129" s="138"/>
      <c r="S129" s="138"/>
    </row>
    <row r="130" spans="1:19">
      <c r="A130" s="219" t="s">
        <v>975</v>
      </c>
      <c r="B130" s="122" t="str">
        <f t="shared" si="8"/>
        <v xml:space="preserve"> </v>
      </c>
      <c r="C130" s="219" t="s">
        <v>1907</v>
      </c>
      <c r="D130" s="218" t="s">
        <v>15</v>
      </c>
      <c r="E130" s="219"/>
      <c r="F130" s="219">
        <v>-2.625</v>
      </c>
      <c r="G130" s="219">
        <v>1245.1244000000002</v>
      </c>
      <c r="H130" s="302">
        <f t="shared" si="7"/>
        <v>-3268.4515500000002</v>
      </c>
      <c r="I130" s="219" t="s">
        <v>1910</v>
      </c>
      <c r="J130" s="220" t="s">
        <v>1917</v>
      </c>
      <c r="K130" s="303">
        <v>111</v>
      </c>
      <c r="L130" s="138"/>
      <c r="M130" s="138"/>
      <c r="N130" s="138"/>
      <c r="O130" s="138"/>
      <c r="P130" s="138"/>
      <c r="Q130" s="138"/>
      <c r="R130" s="138"/>
      <c r="S130" s="138"/>
    </row>
    <row r="131" spans="1:19">
      <c r="A131" s="219" t="s">
        <v>975</v>
      </c>
      <c r="B131" s="122" t="str">
        <f t="shared" si="8"/>
        <v xml:space="preserve"> </v>
      </c>
      <c r="C131" s="219" t="s">
        <v>1908</v>
      </c>
      <c r="D131" s="218" t="s">
        <v>15</v>
      </c>
      <c r="E131" s="219"/>
      <c r="F131" s="219">
        <v>-5.25</v>
      </c>
      <c r="G131" s="219">
        <v>1245.1244000000002</v>
      </c>
      <c r="H131" s="302">
        <f t="shared" si="7"/>
        <v>-6536.9031000000004</v>
      </c>
      <c r="I131" s="219" t="s">
        <v>1910</v>
      </c>
      <c r="J131" s="220" t="s">
        <v>1917</v>
      </c>
      <c r="K131" s="303">
        <v>112</v>
      </c>
      <c r="L131" s="138"/>
      <c r="M131" s="138"/>
      <c r="N131" s="138"/>
      <c r="O131" s="138"/>
      <c r="P131" s="138"/>
      <c r="Q131" s="138"/>
      <c r="R131" s="138"/>
      <c r="S131" s="138"/>
    </row>
    <row r="132" spans="1:19">
      <c r="A132" s="219" t="s">
        <v>976</v>
      </c>
      <c r="B132" s="122" t="str">
        <f t="shared" si="8"/>
        <v xml:space="preserve"> </v>
      </c>
      <c r="C132" s="219" t="s">
        <v>1901</v>
      </c>
      <c r="D132" s="218" t="s">
        <v>981</v>
      </c>
      <c r="E132" s="219"/>
      <c r="F132" s="219">
        <v>-47.625</v>
      </c>
      <c r="G132" s="219">
        <v>300</v>
      </c>
      <c r="H132" s="302">
        <f t="shared" si="7"/>
        <v>-14287.5</v>
      </c>
      <c r="I132" s="219" t="s">
        <v>1910</v>
      </c>
      <c r="J132" s="220" t="s">
        <v>1917</v>
      </c>
      <c r="K132" s="303">
        <v>113</v>
      </c>
      <c r="L132" s="138"/>
      <c r="M132" s="138"/>
      <c r="N132" s="138"/>
      <c r="O132" s="138"/>
      <c r="P132" s="138"/>
      <c r="Q132" s="138"/>
      <c r="R132" s="138"/>
      <c r="S132" s="138"/>
    </row>
    <row r="133" spans="1:19">
      <c r="A133" s="219" t="s">
        <v>976</v>
      </c>
      <c r="B133" s="122" t="str">
        <f t="shared" si="8"/>
        <v xml:space="preserve"> </v>
      </c>
      <c r="C133" s="219" t="s">
        <v>1902</v>
      </c>
      <c r="D133" s="218" t="s">
        <v>981</v>
      </c>
      <c r="E133" s="219"/>
      <c r="F133" s="219">
        <v>-71.4375</v>
      </c>
      <c r="G133" s="219">
        <v>300</v>
      </c>
      <c r="H133" s="302">
        <f t="shared" si="7"/>
        <v>-21431.25</v>
      </c>
      <c r="I133" s="219" t="s">
        <v>1910</v>
      </c>
      <c r="J133" s="220" t="s">
        <v>1917</v>
      </c>
      <c r="K133" s="303">
        <v>114</v>
      </c>
      <c r="L133" s="138"/>
      <c r="M133" s="138"/>
      <c r="N133" s="138"/>
      <c r="O133" s="138"/>
      <c r="P133" s="138"/>
      <c r="Q133" s="138"/>
      <c r="R133" s="138"/>
      <c r="S133" s="138"/>
    </row>
    <row r="134" spans="1:19">
      <c r="A134" s="219" t="s">
        <v>976</v>
      </c>
      <c r="B134" s="122" t="str">
        <f t="shared" si="8"/>
        <v xml:space="preserve"> </v>
      </c>
      <c r="C134" s="219" t="s">
        <v>1903</v>
      </c>
      <c r="D134" s="218" t="s">
        <v>981</v>
      </c>
      <c r="E134" s="219"/>
      <c r="F134" s="219">
        <v>-71.4375</v>
      </c>
      <c r="G134" s="219">
        <v>300</v>
      </c>
      <c r="H134" s="302">
        <f t="shared" si="7"/>
        <v>-21431.25</v>
      </c>
      <c r="I134" s="219" t="s">
        <v>1910</v>
      </c>
      <c r="J134" s="220" t="s">
        <v>1917</v>
      </c>
      <c r="K134" s="303">
        <v>115</v>
      </c>
      <c r="L134" s="138"/>
      <c r="M134" s="138"/>
      <c r="N134" s="138"/>
      <c r="O134" s="138"/>
      <c r="P134" s="138"/>
      <c r="Q134" s="138"/>
      <c r="R134" s="138"/>
      <c r="S134" s="138"/>
    </row>
    <row r="135" spans="1:19">
      <c r="A135" s="219" t="s">
        <v>976</v>
      </c>
      <c r="B135" s="122" t="str">
        <f t="shared" si="8"/>
        <v xml:space="preserve"> </v>
      </c>
      <c r="C135" s="219" t="s">
        <v>1904</v>
      </c>
      <c r="D135" s="218" t="s">
        <v>981</v>
      </c>
      <c r="E135" s="219"/>
      <c r="F135" s="219">
        <v>-71.4375</v>
      </c>
      <c r="G135" s="219">
        <v>300</v>
      </c>
      <c r="H135" s="302">
        <f t="shared" si="7"/>
        <v>-21431.25</v>
      </c>
      <c r="I135" s="219" t="s">
        <v>1910</v>
      </c>
      <c r="J135" s="220" t="s">
        <v>1917</v>
      </c>
      <c r="K135" s="303">
        <v>116</v>
      </c>
      <c r="L135" s="138"/>
      <c r="M135" s="138"/>
      <c r="N135" s="138"/>
      <c r="O135" s="138"/>
      <c r="P135" s="138"/>
      <c r="Q135" s="138"/>
      <c r="R135" s="138"/>
      <c r="S135" s="138"/>
    </row>
    <row r="136" spans="1:19">
      <c r="A136" s="219" t="s">
        <v>976</v>
      </c>
      <c r="B136" s="122" t="str">
        <f t="shared" si="8"/>
        <v xml:space="preserve"> </v>
      </c>
      <c r="C136" s="219" t="s">
        <v>1905</v>
      </c>
      <c r="D136" s="218" t="s">
        <v>981</v>
      </c>
      <c r="E136" s="219"/>
      <c r="F136" s="219">
        <v>-23.8125</v>
      </c>
      <c r="G136" s="219">
        <v>300</v>
      </c>
      <c r="H136" s="302">
        <f t="shared" si="7"/>
        <v>-7143.75</v>
      </c>
      <c r="I136" s="219" t="s">
        <v>1910</v>
      </c>
      <c r="J136" s="220" t="s">
        <v>1917</v>
      </c>
      <c r="K136" s="303">
        <v>117</v>
      </c>
      <c r="L136" s="138"/>
      <c r="M136" s="138"/>
      <c r="N136" s="138"/>
      <c r="O136" s="138"/>
      <c r="P136" s="138"/>
      <c r="Q136" s="138"/>
      <c r="R136" s="138"/>
      <c r="S136" s="138"/>
    </row>
    <row r="137" spans="1:19">
      <c r="A137" s="219" t="s">
        <v>976</v>
      </c>
      <c r="B137" s="122" t="str">
        <f t="shared" si="8"/>
        <v xml:space="preserve"> </v>
      </c>
      <c r="C137" s="219" t="s">
        <v>1908</v>
      </c>
      <c r="D137" s="218" t="s">
        <v>981</v>
      </c>
      <c r="E137" s="219"/>
      <c r="F137" s="219">
        <v>-23.8125</v>
      </c>
      <c r="G137" s="219">
        <v>300</v>
      </c>
      <c r="H137" s="302">
        <f t="shared" si="7"/>
        <v>-7143.75</v>
      </c>
      <c r="I137" s="219" t="s">
        <v>1910</v>
      </c>
      <c r="J137" s="220" t="s">
        <v>1917</v>
      </c>
      <c r="K137" s="303">
        <v>118</v>
      </c>
      <c r="L137" s="138"/>
      <c r="M137" s="138"/>
      <c r="N137" s="138"/>
      <c r="O137" s="138"/>
      <c r="P137" s="138"/>
      <c r="Q137" s="138"/>
      <c r="R137" s="138"/>
      <c r="S137" s="138"/>
    </row>
    <row r="138" spans="1:19">
      <c r="A138" s="219" t="s">
        <v>976</v>
      </c>
      <c r="B138" s="122" t="str">
        <f t="shared" si="8"/>
        <v xml:space="preserve"> </v>
      </c>
      <c r="C138" s="219" t="s">
        <v>1909</v>
      </c>
      <c r="D138" s="218" t="s">
        <v>981</v>
      </c>
      <c r="E138" s="219"/>
      <c r="F138" s="219">
        <v>-71.4375</v>
      </c>
      <c r="G138" s="219">
        <v>300</v>
      </c>
      <c r="H138" s="302">
        <f t="shared" si="7"/>
        <v>-21431.25</v>
      </c>
      <c r="I138" s="219" t="s">
        <v>1910</v>
      </c>
      <c r="J138" s="220" t="s">
        <v>1917</v>
      </c>
      <c r="K138" s="303">
        <v>119</v>
      </c>
      <c r="L138" s="138"/>
      <c r="M138" s="138"/>
      <c r="N138" s="138"/>
      <c r="O138" s="138"/>
      <c r="P138" s="138"/>
      <c r="Q138" s="138"/>
      <c r="R138" s="138"/>
      <c r="S138" s="138"/>
    </row>
    <row r="139" spans="1:19">
      <c r="A139" s="219" t="s">
        <v>990</v>
      </c>
      <c r="B139" s="122" t="str">
        <f t="shared" si="8"/>
        <v xml:space="preserve"> </v>
      </c>
      <c r="C139" s="219" t="s">
        <v>1900</v>
      </c>
      <c r="D139" s="218" t="s">
        <v>1148</v>
      </c>
      <c r="E139" s="219"/>
      <c r="F139" s="219">
        <v>-130.95652173913001</v>
      </c>
      <c r="G139" s="219">
        <v>1490</v>
      </c>
      <c r="H139" s="302">
        <f t="shared" si="7"/>
        <v>-195125.21739130371</v>
      </c>
      <c r="I139" s="219" t="s">
        <v>1910</v>
      </c>
      <c r="J139" s="220" t="s">
        <v>1917</v>
      </c>
      <c r="K139" s="303">
        <v>120</v>
      </c>
      <c r="L139" s="138"/>
      <c r="M139" s="138"/>
      <c r="N139" s="138"/>
      <c r="O139" s="138"/>
      <c r="P139" s="138"/>
      <c r="Q139" s="138"/>
      <c r="R139" s="138"/>
      <c r="S139" s="138"/>
    </row>
    <row r="140" spans="1:19">
      <c r="A140" s="219" t="s">
        <v>990</v>
      </c>
      <c r="B140" s="122" t="str">
        <f t="shared" si="8"/>
        <v xml:space="preserve"> </v>
      </c>
      <c r="C140" s="219" t="s">
        <v>1901</v>
      </c>
      <c r="D140" s="218" t="s">
        <v>1148</v>
      </c>
      <c r="E140" s="219"/>
      <c r="F140" s="219">
        <v>-130.95652173913001</v>
      </c>
      <c r="G140" s="219">
        <v>1490</v>
      </c>
      <c r="H140" s="302">
        <f t="shared" si="7"/>
        <v>-195125.21739130371</v>
      </c>
      <c r="I140" s="219" t="s">
        <v>1910</v>
      </c>
      <c r="J140" s="220" t="s">
        <v>1917</v>
      </c>
      <c r="K140" s="303">
        <v>121</v>
      </c>
      <c r="L140" s="138"/>
      <c r="M140" s="138"/>
      <c r="N140" s="138"/>
      <c r="O140" s="138"/>
      <c r="P140" s="138"/>
      <c r="Q140" s="138"/>
      <c r="R140" s="138"/>
      <c r="S140" s="138"/>
    </row>
    <row r="141" spans="1:19">
      <c r="A141" s="219" t="s">
        <v>990</v>
      </c>
      <c r="B141" s="122" t="str">
        <f t="shared" si="8"/>
        <v xml:space="preserve"> </v>
      </c>
      <c r="C141" s="219" t="s">
        <v>1902</v>
      </c>
      <c r="D141" s="218" t="s">
        <v>1148</v>
      </c>
      <c r="E141" s="219"/>
      <c r="F141" s="219">
        <v>-87.304347826086996</v>
      </c>
      <c r="G141" s="219">
        <v>1490</v>
      </c>
      <c r="H141" s="302">
        <f t="shared" si="7"/>
        <v>-130083.47826086963</v>
      </c>
      <c r="I141" s="219" t="s">
        <v>1910</v>
      </c>
      <c r="J141" s="220" t="s">
        <v>1917</v>
      </c>
      <c r="K141" s="303">
        <v>122</v>
      </c>
      <c r="L141" s="138"/>
      <c r="M141" s="138"/>
      <c r="N141" s="138"/>
      <c r="O141" s="138"/>
      <c r="P141" s="138"/>
      <c r="Q141" s="138"/>
      <c r="R141" s="138"/>
      <c r="S141" s="138"/>
    </row>
    <row r="142" spans="1:19">
      <c r="A142" s="219" t="s">
        <v>990</v>
      </c>
      <c r="B142" s="122" t="str">
        <f t="shared" si="8"/>
        <v xml:space="preserve"> </v>
      </c>
      <c r="C142" s="219" t="s">
        <v>1903</v>
      </c>
      <c r="D142" s="218" t="s">
        <v>1148</v>
      </c>
      <c r="E142" s="219"/>
      <c r="F142" s="219">
        <v>-87.304347826086996</v>
      </c>
      <c r="G142" s="219">
        <v>1490</v>
      </c>
      <c r="H142" s="302">
        <f t="shared" si="7"/>
        <v>-130083.47826086963</v>
      </c>
      <c r="I142" s="219" t="s">
        <v>1910</v>
      </c>
      <c r="J142" s="220" t="s">
        <v>1917</v>
      </c>
      <c r="K142" s="303">
        <v>123</v>
      </c>
      <c r="L142" s="138"/>
      <c r="M142" s="138"/>
      <c r="N142" s="138"/>
      <c r="O142" s="138"/>
      <c r="P142" s="138"/>
      <c r="Q142" s="138"/>
      <c r="R142" s="138"/>
      <c r="S142" s="138"/>
    </row>
    <row r="143" spans="1:19">
      <c r="A143" s="219" t="s">
        <v>990</v>
      </c>
      <c r="B143" s="122" t="str">
        <f t="shared" si="8"/>
        <v xml:space="preserve"> </v>
      </c>
      <c r="C143" s="219" t="s">
        <v>1904</v>
      </c>
      <c r="D143" s="218" t="s">
        <v>1148</v>
      </c>
      <c r="E143" s="219"/>
      <c r="F143" s="219">
        <v>-87.304347826086996</v>
      </c>
      <c r="G143" s="219">
        <v>1490</v>
      </c>
      <c r="H143" s="302">
        <f t="shared" si="7"/>
        <v>-130083.47826086963</v>
      </c>
      <c r="I143" s="219" t="s">
        <v>1910</v>
      </c>
      <c r="J143" s="220" t="s">
        <v>1917</v>
      </c>
      <c r="K143" s="303">
        <v>124</v>
      </c>
      <c r="L143" s="138"/>
      <c r="M143" s="138"/>
      <c r="N143" s="138"/>
      <c r="O143" s="138"/>
      <c r="P143" s="138"/>
      <c r="Q143" s="138"/>
      <c r="R143" s="138"/>
      <c r="S143" s="138"/>
    </row>
    <row r="144" spans="1:19">
      <c r="A144" s="219" t="s">
        <v>990</v>
      </c>
      <c r="B144" s="122" t="str">
        <f t="shared" si="8"/>
        <v xml:space="preserve"> </v>
      </c>
      <c r="C144" s="219" t="s">
        <v>1905</v>
      </c>
      <c r="D144" s="218" t="s">
        <v>1148</v>
      </c>
      <c r="E144" s="219"/>
      <c r="F144" s="219">
        <v>-43.652173913043498</v>
      </c>
      <c r="G144" s="219">
        <v>1490</v>
      </c>
      <c r="H144" s="302">
        <f t="shared" si="7"/>
        <v>-65041.739130434813</v>
      </c>
      <c r="I144" s="219" t="s">
        <v>1910</v>
      </c>
      <c r="J144" s="220" t="s">
        <v>1917</v>
      </c>
      <c r="K144" s="303">
        <v>125</v>
      </c>
      <c r="L144" s="138"/>
      <c r="M144" s="138"/>
      <c r="N144" s="138"/>
      <c r="O144" s="138"/>
      <c r="P144" s="138"/>
      <c r="Q144" s="138"/>
      <c r="R144" s="138"/>
      <c r="S144" s="138"/>
    </row>
    <row r="145" spans="1:19">
      <c r="A145" s="219" t="s">
        <v>990</v>
      </c>
      <c r="B145" s="122" t="str">
        <f t="shared" si="8"/>
        <v xml:space="preserve"> </v>
      </c>
      <c r="C145" s="219" t="s">
        <v>1906</v>
      </c>
      <c r="D145" s="218" t="s">
        <v>1148</v>
      </c>
      <c r="E145" s="219"/>
      <c r="F145" s="219">
        <v>-130.95652173913001</v>
      </c>
      <c r="G145" s="219">
        <v>1490</v>
      </c>
      <c r="H145" s="302">
        <f t="shared" si="7"/>
        <v>-195125.21739130371</v>
      </c>
      <c r="I145" s="219" t="s">
        <v>1910</v>
      </c>
      <c r="J145" s="220" t="s">
        <v>1917</v>
      </c>
      <c r="K145" s="303">
        <v>126</v>
      </c>
      <c r="L145" s="138"/>
      <c r="M145" s="138"/>
      <c r="N145" s="138"/>
      <c r="O145" s="138"/>
      <c r="P145" s="138"/>
      <c r="Q145" s="138"/>
      <c r="R145" s="138"/>
      <c r="S145" s="138"/>
    </row>
    <row r="146" spans="1:19">
      <c r="A146" s="219" t="s">
        <v>990</v>
      </c>
      <c r="B146" s="122" t="str">
        <f t="shared" si="8"/>
        <v xml:space="preserve"> </v>
      </c>
      <c r="C146" s="219" t="s">
        <v>1890</v>
      </c>
      <c r="D146" s="218" t="s">
        <v>1148</v>
      </c>
      <c r="E146" s="219"/>
      <c r="F146" s="219">
        <v>-43.652173913043498</v>
      </c>
      <c r="G146" s="219">
        <v>1490</v>
      </c>
      <c r="H146" s="302">
        <f t="shared" si="7"/>
        <v>-65041.739130434813</v>
      </c>
      <c r="I146" s="219" t="s">
        <v>1910</v>
      </c>
      <c r="J146" s="220" t="s">
        <v>1917</v>
      </c>
      <c r="K146" s="303">
        <v>127</v>
      </c>
      <c r="L146" s="138"/>
      <c r="M146" s="138"/>
      <c r="N146" s="138"/>
      <c r="O146" s="138"/>
      <c r="P146" s="138"/>
      <c r="Q146" s="138"/>
      <c r="R146" s="138"/>
      <c r="S146" s="138"/>
    </row>
    <row r="147" spans="1:19">
      <c r="A147" s="219" t="s">
        <v>990</v>
      </c>
      <c r="B147" s="122" t="str">
        <f t="shared" si="8"/>
        <v xml:space="preserve"> </v>
      </c>
      <c r="C147" s="219" t="s">
        <v>1907</v>
      </c>
      <c r="D147" s="218" t="s">
        <v>1148</v>
      </c>
      <c r="E147" s="219"/>
      <c r="F147" s="219">
        <v>-130.95652173913001</v>
      </c>
      <c r="G147" s="219">
        <v>1490</v>
      </c>
      <c r="H147" s="302">
        <f t="shared" si="7"/>
        <v>-195125.21739130371</v>
      </c>
      <c r="I147" s="219" t="s">
        <v>1910</v>
      </c>
      <c r="J147" s="220" t="s">
        <v>1917</v>
      </c>
      <c r="K147" s="303">
        <v>128</v>
      </c>
      <c r="L147" s="138"/>
      <c r="M147" s="138"/>
      <c r="N147" s="138"/>
      <c r="O147" s="138"/>
      <c r="P147" s="138"/>
      <c r="Q147" s="138"/>
      <c r="R147" s="138"/>
      <c r="S147" s="138"/>
    </row>
    <row r="148" spans="1:19">
      <c r="A148" s="219" t="s">
        <v>990</v>
      </c>
      <c r="B148" s="122" t="str">
        <f t="shared" si="8"/>
        <v xml:space="preserve"> </v>
      </c>
      <c r="C148" s="219" t="s">
        <v>1908</v>
      </c>
      <c r="D148" s="218" t="s">
        <v>1148</v>
      </c>
      <c r="E148" s="219"/>
      <c r="F148" s="219">
        <v>-87.304347826086996</v>
      </c>
      <c r="G148" s="219">
        <v>1490</v>
      </c>
      <c r="H148" s="302">
        <f t="shared" si="7"/>
        <v>-130083.47826086963</v>
      </c>
      <c r="I148" s="219" t="s">
        <v>1910</v>
      </c>
      <c r="J148" s="220" t="s">
        <v>1917</v>
      </c>
      <c r="K148" s="303">
        <v>129</v>
      </c>
      <c r="L148" s="138"/>
      <c r="M148" s="138"/>
      <c r="N148" s="138"/>
      <c r="O148" s="138"/>
      <c r="P148" s="138"/>
      <c r="Q148" s="138"/>
      <c r="R148" s="138"/>
      <c r="S148" s="138"/>
    </row>
    <row r="149" spans="1:19">
      <c r="A149" s="219" t="s">
        <v>990</v>
      </c>
      <c r="B149" s="122" t="str">
        <f t="shared" si="8"/>
        <v xml:space="preserve"> </v>
      </c>
      <c r="C149" s="219" t="s">
        <v>1909</v>
      </c>
      <c r="D149" s="218" t="s">
        <v>1148</v>
      </c>
      <c r="E149" s="219"/>
      <c r="F149" s="219">
        <v>-43.652173913043498</v>
      </c>
      <c r="G149" s="219">
        <v>1490</v>
      </c>
      <c r="H149" s="302">
        <f t="shared" si="7"/>
        <v>-65041.739130434813</v>
      </c>
      <c r="I149" s="219" t="s">
        <v>1910</v>
      </c>
      <c r="J149" s="220" t="s">
        <v>1917</v>
      </c>
      <c r="K149" s="303">
        <v>130</v>
      </c>
      <c r="L149" s="138"/>
      <c r="M149" s="138"/>
      <c r="N149" s="138"/>
      <c r="O149" s="138"/>
      <c r="P149" s="138"/>
      <c r="Q149" s="138"/>
      <c r="R149" s="138"/>
      <c r="S149" s="138"/>
    </row>
    <row r="150" spans="1:19">
      <c r="A150" s="219"/>
      <c r="B150" s="122" t="str">
        <f t="shared" si="8"/>
        <v xml:space="preserve"> </v>
      </c>
      <c r="C150" s="219"/>
      <c r="D150" s="218"/>
      <c r="E150" s="219"/>
      <c r="F150" s="219"/>
      <c r="G150" s="219"/>
      <c r="H150" s="302">
        <f t="shared" si="7"/>
        <v>0</v>
      </c>
      <c r="I150" s="219"/>
      <c r="J150" s="220"/>
      <c r="K150" s="303">
        <v>131</v>
      </c>
      <c r="L150" s="138"/>
      <c r="M150" s="138"/>
      <c r="N150" s="138"/>
      <c r="O150" s="138"/>
      <c r="P150" s="138"/>
      <c r="Q150" s="138"/>
      <c r="R150" s="138"/>
      <c r="S150" s="138"/>
    </row>
    <row r="151" spans="1:19">
      <c r="A151" s="219"/>
      <c r="B151" s="122" t="str">
        <f t="shared" si="8"/>
        <v xml:space="preserve"> </v>
      </c>
      <c r="C151" s="219"/>
      <c r="D151" s="218"/>
      <c r="E151" s="219"/>
      <c r="F151" s="219"/>
      <c r="G151" s="219"/>
      <c r="H151" s="302">
        <f t="shared" ref="H151:H182" si="9">$F151*$G151</f>
        <v>0</v>
      </c>
      <c r="I151" s="219"/>
      <c r="J151" s="220"/>
      <c r="K151" s="303">
        <v>132</v>
      </c>
      <c r="L151" s="138"/>
      <c r="M151" s="138"/>
      <c r="N151" s="138"/>
      <c r="O151" s="138"/>
      <c r="P151" s="138"/>
      <c r="Q151" s="138"/>
      <c r="R151" s="138"/>
      <c r="S151" s="138"/>
    </row>
    <row r="152" spans="1:19">
      <c r="A152" s="219"/>
      <c r="B152" s="122" t="str">
        <f t="shared" si="8"/>
        <v xml:space="preserve"> </v>
      </c>
      <c r="C152" s="219"/>
      <c r="D152" s="218"/>
      <c r="E152" s="219"/>
      <c r="F152" s="219"/>
      <c r="G152" s="219"/>
      <c r="H152" s="302">
        <f t="shared" si="9"/>
        <v>0</v>
      </c>
      <c r="I152" s="219"/>
      <c r="J152" s="220"/>
      <c r="K152" s="303">
        <v>133</v>
      </c>
      <c r="L152" s="138"/>
      <c r="M152" s="138"/>
      <c r="N152" s="138"/>
      <c r="O152" s="138"/>
      <c r="P152" s="138"/>
      <c r="Q152" s="138"/>
      <c r="R152" s="138"/>
      <c r="S152" s="138"/>
    </row>
    <row r="153" spans="1:19">
      <c r="A153" s="219"/>
      <c r="B153" s="122" t="str">
        <f t="shared" si="8"/>
        <v xml:space="preserve"> </v>
      </c>
      <c r="C153" s="219"/>
      <c r="D153" s="218"/>
      <c r="E153" s="219"/>
      <c r="F153" s="219"/>
      <c r="G153" s="219"/>
      <c r="H153" s="302">
        <f t="shared" si="9"/>
        <v>0</v>
      </c>
      <c r="I153" s="219"/>
      <c r="J153" s="220"/>
      <c r="K153" s="303">
        <v>134</v>
      </c>
      <c r="L153" s="138"/>
      <c r="M153" s="138"/>
      <c r="N153" s="138"/>
      <c r="O153" s="138"/>
      <c r="P153" s="138"/>
      <c r="Q153" s="138"/>
      <c r="R153" s="138"/>
      <c r="S153" s="138"/>
    </row>
    <row r="154" spans="1:19">
      <c r="A154" s="219"/>
      <c r="B154" s="122" t="str">
        <f t="shared" si="8"/>
        <v xml:space="preserve"> </v>
      </c>
      <c r="C154" s="219"/>
      <c r="D154" s="218"/>
      <c r="E154" s="219"/>
      <c r="F154" s="219"/>
      <c r="G154" s="219"/>
      <c r="H154" s="302">
        <f t="shared" si="9"/>
        <v>0</v>
      </c>
      <c r="I154" s="219"/>
      <c r="J154" s="220"/>
      <c r="K154" s="303">
        <v>135</v>
      </c>
      <c r="L154" s="138"/>
      <c r="M154" s="138"/>
      <c r="N154" s="138"/>
      <c r="O154" s="138"/>
      <c r="P154" s="138"/>
      <c r="Q154" s="138"/>
      <c r="R154" s="138"/>
      <c r="S154" s="138"/>
    </row>
    <row r="155" spans="1:19">
      <c r="A155" s="219"/>
      <c r="B155" s="122" t="str">
        <f t="shared" si="8"/>
        <v xml:space="preserve"> </v>
      </c>
      <c r="C155" s="219"/>
      <c r="D155" s="218"/>
      <c r="E155" s="219"/>
      <c r="F155" s="219"/>
      <c r="G155" s="219"/>
      <c r="H155" s="302">
        <f t="shared" si="9"/>
        <v>0</v>
      </c>
      <c r="I155" s="219"/>
      <c r="J155" s="220"/>
      <c r="K155" s="303">
        <v>136</v>
      </c>
      <c r="L155" s="138"/>
      <c r="M155" s="138"/>
      <c r="N155" s="138"/>
      <c r="O155" s="138"/>
      <c r="P155" s="138"/>
      <c r="Q155" s="138"/>
      <c r="R155" s="138"/>
      <c r="S155" s="138"/>
    </row>
    <row r="156" spans="1:19">
      <c r="A156" s="219"/>
      <c r="B156" s="122" t="str">
        <f t="shared" si="8"/>
        <v xml:space="preserve"> </v>
      </c>
      <c r="C156" s="219"/>
      <c r="D156" s="218"/>
      <c r="E156" s="219"/>
      <c r="F156" s="219"/>
      <c r="G156" s="219"/>
      <c r="H156" s="302">
        <f t="shared" si="9"/>
        <v>0</v>
      </c>
      <c r="I156" s="219"/>
      <c r="J156" s="220"/>
      <c r="K156" s="303">
        <v>137</v>
      </c>
      <c r="L156" s="138"/>
      <c r="M156" s="138"/>
      <c r="N156" s="138"/>
      <c r="O156" s="138"/>
      <c r="P156" s="138"/>
      <c r="Q156" s="138"/>
      <c r="R156" s="138"/>
      <c r="S156" s="138"/>
    </row>
    <row r="157" spans="1:19">
      <c r="A157" s="219"/>
      <c r="B157" s="122" t="str">
        <f t="shared" ref="B157:B218" si="10">IF($A157="Other","&lt;Please specify&gt;"," ")</f>
        <v xml:space="preserve"> </v>
      </c>
      <c r="C157" s="219"/>
      <c r="D157" s="218"/>
      <c r="E157" s="219"/>
      <c r="F157" s="219"/>
      <c r="G157" s="219"/>
      <c r="H157" s="302">
        <f t="shared" si="9"/>
        <v>0</v>
      </c>
      <c r="I157" s="219"/>
      <c r="J157" s="220"/>
      <c r="K157" s="303">
        <v>138</v>
      </c>
      <c r="L157" s="138"/>
      <c r="M157" s="138"/>
      <c r="N157" s="138"/>
      <c r="O157" s="138"/>
      <c r="P157" s="138"/>
      <c r="Q157" s="138"/>
      <c r="R157" s="138"/>
      <c r="S157" s="138"/>
    </row>
    <row r="158" spans="1:19">
      <c r="A158" s="219"/>
      <c r="B158" s="122" t="str">
        <f t="shared" si="10"/>
        <v xml:space="preserve"> </v>
      </c>
      <c r="C158" s="219"/>
      <c r="D158" s="218"/>
      <c r="E158" s="219"/>
      <c r="F158" s="219"/>
      <c r="G158" s="219"/>
      <c r="H158" s="302">
        <f t="shared" si="9"/>
        <v>0</v>
      </c>
      <c r="I158" s="219"/>
      <c r="J158" s="220"/>
      <c r="K158" s="303">
        <v>139</v>
      </c>
      <c r="L158" s="138"/>
      <c r="M158" s="138"/>
      <c r="N158" s="138"/>
      <c r="O158" s="138"/>
      <c r="P158" s="138"/>
      <c r="Q158" s="138"/>
      <c r="R158" s="138"/>
      <c r="S158" s="138"/>
    </row>
    <row r="159" spans="1:19">
      <c r="A159" s="219"/>
      <c r="B159" s="122" t="str">
        <f t="shared" si="10"/>
        <v xml:space="preserve"> </v>
      </c>
      <c r="C159" s="219"/>
      <c r="D159" s="218"/>
      <c r="E159" s="219"/>
      <c r="F159" s="219"/>
      <c r="G159" s="219"/>
      <c r="H159" s="302">
        <f t="shared" si="9"/>
        <v>0</v>
      </c>
      <c r="I159" s="219"/>
      <c r="J159" s="220"/>
      <c r="K159" s="303">
        <v>140</v>
      </c>
      <c r="L159" s="138"/>
      <c r="M159" s="138"/>
      <c r="N159" s="138"/>
      <c r="O159" s="138"/>
      <c r="P159" s="138"/>
      <c r="Q159" s="138"/>
      <c r="R159" s="138"/>
      <c r="S159" s="138"/>
    </row>
    <row r="160" spans="1:19">
      <c r="A160" s="219"/>
      <c r="B160" s="122" t="str">
        <f t="shared" si="10"/>
        <v xml:space="preserve"> </v>
      </c>
      <c r="C160" s="219"/>
      <c r="D160" s="218"/>
      <c r="E160" s="219"/>
      <c r="F160" s="219"/>
      <c r="G160" s="219"/>
      <c r="H160" s="302">
        <f t="shared" si="9"/>
        <v>0</v>
      </c>
      <c r="I160" s="219"/>
      <c r="J160" s="220"/>
      <c r="K160" s="303">
        <v>141</v>
      </c>
      <c r="L160" s="138"/>
      <c r="M160" s="138"/>
      <c r="N160" s="138"/>
      <c r="O160" s="138"/>
      <c r="P160" s="138"/>
      <c r="Q160" s="138"/>
      <c r="R160" s="138"/>
      <c r="S160" s="138"/>
    </row>
    <row r="161" spans="1:19">
      <c r="A161" s="219"/>
      <c r="B161" s="122" t="str">
        <f t="shared" si="10"/>
        <v xml:space="preserve"> </v>
      </c>
      <c r="C161" s="219"/>
      <c r="D161" s="218"/>
      <c r="E161" s="219"/>
      <c r="F161" s="219"/>
      <c r="G161" s="219"/>
      <c r="H161" s="302">
        <f t="shared" si="9"/>
        <v>0</v>
      </c>
      <c r="I161" s="219"/>
      <c r="J161" s="220"/>
      <c r="K161" s="303">
        <v>142</v>
      </c>
      <c r="L161" s="138"/>
      <c r="M161" s="138"/>
      <c r="N161" s="138"/>
      <c r="O161" s="138"/>
      <c r="P161" s="138"/>
      <c r="Q161" s="138"/>
      <c r="R161" s="138"/>
      <c r="S161" s="138"/>
    </row>
    <row r="162" spans="1:19">
      <c r="A162" s="219"/>
      <c r="B162" s="122" t="str">
        <f t="shared" si="10"/>
        <v xml:space="preserve"> </v>
      </c>
      <c r="C162" s="219"/>
      <c r="D162" s="218"/>
      <c r="E162" s="219"/>
      <c r="F162" s="219"/>
      <c r="G162" s="219"/>
      <c r="H162" s="302">
        <f t="shared" si="9"/>
        <v>0</v>
      </c>
      <c r="I162" s="219"/>
      <c r="J162" s="220"/>
      <c r="K162" s="303">
        <v>143</v>
      </c>
      <c r="L162" s="138"/>
      <c r="M162" s="138"/>
      <c r="N162" s="138"/>
      <c r="O162" s="138"/>
      <c r="P162" s="138"/>
      <c r="Q162" s="138"/>
      <c r="R162" s="138"/>
      <c r="S162" s="138"/>
    </row>
    <row r="163" spans="1:19">
      <c r="A163" s="219"/>
      <c r="B163" s="122" t="str">
        <f t="shared" si="10"/>
        <v xml:space="preserve"> </v>
      </c>
      <c r="C163" s="219"/>
      <c r="D163" s="218"/>
      <c r="E163" s="219"/>
      <c r="F163" s="219"/>
      <c r="G163" s="219"/>
      <c r="H163" s="302">
        <f t="shared" si="9"/>
        <v>0</v>
      </c>
      <c r="I163" s="219"/>
      <c r="J163" s="220"/>
      <c r="K163" s="303">
        <v>144</v>
      </c>
      <c r="L163" s="138"/>
      <c r="M163" s="138"/>
      <c r="N163" s="138"/>
      <c r="O163" s="138"/>
      <c r="P163" s="138"/>
      <c r="Q163" s="138"/>
      <c r="R163" s="138"/>
      <c r="S163" s="138"/>
    </row>
    <row r="164" spans="1:19">
      <c r="A164" s="219"/>
      <c r="B164" s="122" t="str">
        <f t="shared" si="10"/>
        <v xml:space="preserve"> </v>
      </c>
      <c r="C164" s="219"/>
      <c r="D164" s="218"/>
      <c r="E164" s="219"/>
      <c r="F164" s="219"/>
      <c r="G164" s="219"/>
      <c r="H164" s="302">
        <f t="shared" si="9"/>
        <v>0</v>
      </c>
      <c r="I164" s="219"/>
      <c r="J164" s="220"/>
      <c r="K164" s="303">
        <v>145</v>
      </c>
      <c r="L164" s="138"/>
      <c r="M164" s="138"/>
      <c r="N164" s="138"/>
      <c r="O164" s="138"/>
      <c r="P164" s="138"/>
      <c r="Q164" s="138"/>
      <c r="R164" s="138"/>
      <c r="S164" s="138"/>
    </row>
    <row r="165" spans="1:19">
      <c r="A165" s="219"/>
      <c r="B165" s="122" t="str">
        <f t="shared" si="10"/>
        <v xml:space="preserve"> </v>
      </c>
      <c r="C165" s="219"/>
      <c r="D165" s="218"/>
      <c r="E165" s="219"/>
      <c r="F165" s="219"/>
      <c r="G165" s="219"/>
      <c r="H165" s="302">
        <f t="shared" si="9"/>
        <v>0</v>
      </c>
      <c r="I165" s="219"/>
      <c r="J165" s="220"/>
      <c r="K165" s="303">
        <v>146</v>
      </c>
      <c r="L165" s="138"/>
      <c r="M165" s="138"/>
      <c r="N165" s="138"/>
      <c r="O165" s="138"/>
      <c r="P165" s="138"/>
      <c r="Q165" s="138"/>
      <c r="R165" s="138"/>
      <c r="S165" s="138"/>
    </row>
    <row r="166" spans="1:19">
      <c r="A166" s="219"/>
      <c r="B166" s="122" t="str">
        <f t="shared" si="10"/>
        <v xml:space="preserve"> </v>
      </c>
      <c r="C166" s="219"/>
      <c r="D166" s="218"/>
      <c r="E166" s="219"/>
      <c r="F166" s="219"/>
      <c r="G166" s="219"/>
      <c r="H166" s="302">
        <f t="shared" si="9"/>
        <v>0</v>
      </c>
      <c r="I166" s="219"/>
      <c r="J166" s="220"/>
      <c r="K166" s="303">
        <v>147</v>
      </c>
      <c r="L166" s="138"/>
      <c r="M166" s="138"/>
      <c r="N166" s="138"/>
      <c r="O166" s="138"/>
      <c r="P166" s="138"/>
      <c r="Q166" s="138"/>
      <c r="R166" s="138"/>
      <c r="S166" s="138"/>
    </row>
    <row r="167" spans="1:19">
      <c r="A167" s="219"/>
      <c r="B167" s="122" t="str">
        <f t="shared" si="10"/>
        <v xml:space="preserve"> </v>
      </c>
      <c r="C167" s="219"/>
      <c r="D167" s="218"/>
      <c r="E167" s="219"/>
      <c r="F167" s="219"/>
      <c r="G167" s="219"/>
      <c r="H167" s="302">
        <f t="shared" si="9"/>
        <v>0</v>
      </c>
      <c r="I167" s="219"/>
      <c r="J167" s="220"/>
      <c r="K167" s="303">
        <v>148</v>
      </c>
      <c r="L167" s="138"/>
      <c r="M167" s="138"/>
      <c r="N167" s="138"/>
      <c r="O167" s="138"/>
      <c r="P167" s="138"/>
      <c r="Q167" s="138"/>
      <c r="R167" s="138"/>
      <c r="S167" s="138"/>
    </row>
    <row r="168" spans="1:19">
      <c r="A168" s="219"/>
      <c r="B168" s="122" t="str">
        <f t="shared" si="10"/>
        <v xml:space="preserve"> </v>
      </c>
      <c r="C168" s="219"/>
      <c r="D168" s="218"/>
      <c r="E168" s="219"/>
      <c r="F168" s="219"/>
      <c r="G168" s="219"/>
      <c r="H168" s="302">
        <f t="shared" si="9"/>
        <v>0</v>
      </c>
      <c r="I168" s="219"/>
      <c r="J168" s="220"/>
      <c r="K168" s="303">
        <v>149</v>
      </c>
      <c r="L168" s="138"/>
      <c r="M168" s="138"/>
      <c r="N168" s="138"/>
      <c r="O168" s="138"/>
      <c r="P168" s="138"/>
      <c r="Q168" s="138"/>
      <c r="R168" s="138"/>
      <c r="S168" s="138"/>
    </row>
    <row r="169" spans="1:19" hidden="1">
      <c r="A169" s="219"/>
      <c r="B169" s="122" t="str">
        <f t="shared" si="10"/>
        <v xml:space="preserve"> </v>
      </c>
      <c r="C169" s="219"/>
      <c r="D169" s="218"/>
      <c r="E169" s="219"/>
      <c r="F169" s="219"/>
      <c r="G169" s="219"/>
      <c r="H169" s="302">
        <f t="shared" si="9"/>
        <v>0</v>
      </c>
      <c r="I169" s="219"/>
      <c r="J169" s="220"/>
      <c r="K169" s="303">
        <f t="shared" ref="K169:K200" si="11">ROW()-19</f>
        <v>150</v>
      </c>
      <c r="L169" s="138"/>
      <c r="M169" s="138"/>
      <c r="N169" s="138"/>
      <c r="O169" s="138"/>
      <c r="P169" s="138"/>
      <c r="Q169" s="138"/>
      <c r="R169" s="138"/>
      <c r="S169" s="138"/>
    </row>
    <row r="170" spans="1:19" hidden="1">
      <c r="A170" s="219"/>
      <c r="B170" s="122" t="str">
        <f t="shared" si="10"/>
        <v xml:space="preserve"> </v>
      </c>
      <c r="C170" s="219"/>
      <c r="D170" s="218"/>
      <c r="E170" s="219"/>
      <c r="F170" s="219"/>
      <c r="G170" s="219"/>
      <c r="H170" s="302">
        <f t="shared" si="9"/>
        <v>0</v>
      </c>
      <c r="I170" s="219"/>
      <c r="J170" s="220"/>
      <c r="K170" s="303">
        <f t="shared" si="11"/>
        <v>151</v>
      </c>
      <c r="L170" s="138"/>
      <c r="M170" s="138"/>
      <c r="N170" s="138"/>
      <c r="O170" s="138"/>
      <c r="P170" s="138"/>
      <c r="Q170" s="138"/>
      <c r="R170" s="138"/>
      <c r="S170" s="138"/>
    </row>
    <row r="171" spans="1:19" hidden="1">
      <c r="A171" s="219"/>
      <c r="B171" s="122" t="str">
        <f t="shared" si="10"/>
        <v xml:space="preserve"> </v>
      </c>
      <c r="C171" s="219"/>
      <c r="D171" s="218"/>
      <c r="E171" s="219"/>
      <c r="F171" s="219"/>
      <c r="G171" s="219"/>
      <c r="H171" s="302">
        <f t="shared" si="9"/>
        <v>0</v>
      </c>
      <c r="I171" s="219"/>
      <c r="J171" s="220"/>
      <c r="K171" s="303">
        <f t="shared" si="11"/>
        <v>152</v>
      </c>
      <c r="L171" s="138"/>
      <c r="M171" s="138"/>
      <c r="N171" s="138"/>
      <c r="O171" s="138"/>
      <c r="P171" s="138"/>
      <c r="Q171" s="138"/>
      <c r="R171" s="138"/>
      <c r="S171" s="138"/>
    </row>
    <row r="172" spans="1:19" hidden="1">
      <c r="A172" s="219"/>
      <c r="B172" s="122" t="str">
        <f t="shared" si="10"/>
        <v xml:space="preserve"> </v>
      </c>
      <c r="C172" s="219"/>
      <c r="D172" s="218"/>
      <c r="E172" s="219"/>
      <c r="F172" s="219"/>
      <c r="G172" s="219"/>
      <c r="H172" s="302">
        <f t="shared" si="9"/>
        <v>0</v>
      </c>
      <c r="I172" s="219"/>
      <c r="J172" s="220"/>
      <c r="K172" s="303">
        <f t="shared" si="11"/>
        <v>153</v>
      </c>
      <c r="L172" s="138"/>
      <c r="M172" s="138"/>
      <c r="N172" s="138"/>
      <c r="O172" s="138"/>
      <c r="P172" s="138"/>
      <c r="Q172" s="138"/>
      <c r="R172" s="138"/>
      <c r="S172" s="138"/>
    </row>
    <row r="173" spans="1:19" hidden="1">
      <c r="A173" s="219"/>
      <c r="B173" s="122" t="str">
        <f t="shared" si="10"/>
        <v xml:space="preserve"> </v>
      </c>
      <c r="C173" s="219"/>
      <c r="D173" s="218"/>
      <c r="E173" s="219"/>
      <c r="F173" s="219"/>
      <c r="G173" s="219"/>
      <c r="H173" s="302">
        <f t="shared" si="9"/>
        <v>0</v>
      </c>
      <c r="I173" s="219"/>
      <c r="J173" s="220"/>
      <c r="K173" s="303">
        <f t="shared" si="11"/>
        <v>154</v>
      </c>
      <c r="L173" s="138"/>
      <c r="M173" s="138"/>
      <c r="N173" s="138"/>
      <c r="O173" s="138"/>
      <c r="P173" s="138"/>
      <c r="Q173" s="138"/>
      <c r="R173" s="138"/>
      <c r="S173" s="138"/>
    </row>
    <row r="174" spans="1:19" hidden="1">
      <c r="A174" s="219"/>
      <c r="B174" s="122" t="str">
        <f t="shared" si="10"/>
        <v xml:space="preserve"> </v>
      </c>
      <c r="C174" s="219"/>
      <c r="D174" s="218"/>
      <c r="E174" s="219"/>
      <c r="F174" s="219"/>
      <c r="G174" s="219"/>
      <c r="H174" s="302">
        <f t="shared" si="9"/>
        <v>0</v>
      </c>
      <c r="I174" s="219"/>
      <c r="J174" s="220"/>
      <c r="K174" s="303">
        <f t="shared" si="11"/>
        <v>155</v>
      </c>
      <c r="L174" s="138"/>
      <c r="M174" s="138"/>
      <c r="N174" s="138"/>
      <c r="O174" s="138"/>
      <c r="P174" s="138"/>
      <c r="Q174" s="138"/>
      <c r="R174" s="138"/>
      <c r="S174" s="138"/>
    </row>
    <row r="175" spans="1:19" hidden="1">
      <c r="A175" s="219"/>
      <c r="B175" s="122" t="str">
        <f t="shared" si="10"/>
        <v xml:space="preserve"> </v>
      </c>
      <c r="C175" s="219"/>
      <c r="D175" s="218"/>
      <c r="E175" s="219"/>
      <c r="F175" s="219"/>
      <c r="G175" s="219"/>
      <c r="H175" s="302">
        <f t="shared" si="9"/>
        <v>0</v>
      </c>
      <c r="I175" s="219"/>
      <c r="J175" s="220"/>
      <c r="K175" s="303">
        <f t="shared" si="11"/>
        <v>156</v>
      </c>
      <c r="L175" s="138"/>
      <c r="M175" s="138"/>
      <c r="N175" s="138"/>
      <c r="O175" s="138"/>
      <c r="P175" s="138"/>
      <c r="Q175" s="138"/>
      <c r="R175" s="138"/>
      <c r="S175" s="138"/>
    </row>
    <row r="176" spans="1:19" hidden="1">
      <c r="A176" s="219"/>
      <c r="B176" s="122" t="str">
        <f t="shared" si="10"/>
        <v xml:space="preserve"> </v>
      </c>
      <c r="C176" s="219"/>
      <c r="D176" s="218"/>
      <c r="E176" s="219"/>
      <c r="F176" s="219"/>
      <c r="G176" s="219"/>
      <c r="H176" s="302">
        <f t="shared" si="9"/>
        <v>0</v>
      </c>
      <c r="I176" s="219"/>
      <c r="J176" s="220"/>
      <c r="K176" s="303">
        <f t="shared" si="11"/>
        <v>157</v>
      </c>
      <c r="L176" s="138"/>
      <c r="M176" s="138"/>
      <c r="N176" s="138"/>
      <c r="O176" s="138"/>
      <c r="P176" s="138"/>
      <c r="Q176" s="138"/>
      <c r="R176" s="138"/>
      <c r="S176" s="138"/>
    </row>
    <row r="177" spans="1:19" hidden="1">
      <c r="A177" s="219"/>
      <c r="B177" s="122" t="str">
        <f t="shared" si="10"/>
        <v xml:space="preserve"> </v>
      </c>
      <c r="C177" s="219"/>
      <c r="D177" s="218"/>
      <c r="E177" s="219"/>
      <c r="F177" s="219"/>
      <c r="G177" s="219"/>
      <c r="H177" s="302">
        <f t="shared" si="9"/>
        <v>0</v>
      </c>
      <c r="I177" s="219"/>
      <c r="J177" s="220"/>
      <c r="K177" s="303">
        <f t="shared" si="11"/>
        <v>158</v>
      </c>
      <c r="L177" s="138"/>
      <c r="M177" s="138"/>
      <c r="N177" s="138"/>
      <c r="O177" s="138"/>
      <c r="P177" s="138"/>
      <c r="Q177" s="138"/>
      <c r="R177" s="138"/>
      <c r="S177" s="138"/>
    </row>
    <row r="178" spans="1:19" hidden="1">
      <c r="A178" s="219"/>
      <c r="B178" s="122" t="str">
        <f t="shared" si="10"/>
        <v xml:space="preserve"> </v>
      </c>
      <c r="C178" s="219"/>
      <c r="D178" s="218"/>
      <c r="E178" s="219"/>
      <c r="F178" s="219"/>
      <c r="G178" s="219"/>
      <c r="H178" s="302">
        <f t="shared" si="9"/>
        <v>0</v>
      </c>
      <c r="I178" s="219"/>
      <c r="J178" s="220"/>
      <c r="K178" s="303">
        <f t="shared" si="11"/>
        <v>159</v>
      </c>
      <c r="L178" s="138"/>
      <c r="M178" s="138"/>
      <c r="N178" s="138"/>
      <c r="O178" s="138"/>
      <c r="P178" s="138"/>
      <c r="Q178" s="138"/>
      <c r="R178" s="138"/>
      <c r="S178" s="138"/>
    </row>
    <row r="179" spans="1:19" hidden="1">
      <c r="A179" s="219"/>
      <c r="B179" s="122" t="str">
        <f t="shared" si="10"/>
        <v xml:space="preserve"> </v>
      </c>
      <c r="C179" s="219"/>
      <c r="D179" s="218"/>
      <c r="E179" s="219"/>
      <c r="F179" s="219"/>
      <c r="G179" s="219"/>
      <c r="H179" s="302">
        <f t="shared" si="9"/>
        <v>0</v>
      </c>
      <c r="I179" s="219"/>
      <c r="J179" s="220"/>
      <c r="K179" s="303">
        <f t="shared" si="11"/>
        <v>160</v>
      </c>
      <c r="L179" s="138"/>
      <c r="M179" s="138"/>
      <c r="N179" s="138"/>
      <c r="O179" s="138"/>
      <c r="P179" s="138"/>
      <c r="Q179" s="138"/>
      <c r="R179" s="138"/>
      <c r="S179" s="138"/>
    </row>
    <row r="180" spans="1:19" hidden="1">
      <c r="A180" s="219"/>
      <c r="B180" s="122" t="str">
        <f t="shared" si="10"/>
        <v xml:space="preserve"> </v>
      </c>
      <c r="C180" s="219"/>
      <c r="D180" s="218"/>
      <c r="E180" s="219"/>
      <c r="F180" s="219"/>
      <c r="G180" s="219"/>
      <c r="H180" s="302">
        <f t="shared" si="9"/>
        <v>0</v>
      </c>
      <c r="I180" s="219"/>
      <c r="J180" s="220"/>
      <c r="K180" s="303">
        <f t="shared" si="11"/>
        <v>161</v>
      </c>
      <c r="L180" s="138"/>
      <c r="M180" s="138"/>
      <c r="N180" s="138"/>
      <c r="O180" s="138"/>
      <c r="P180" s="138"/>
      <c r="Q180" s="138"/>
      <c r="R180" s="138"/>
      <c r="S180" s="138"/>
    </row>
    <row r="181" spans="1:19" hidden="1">
      <c r="A181" s="219"/>
      <c r="B181" s="122" t="str">
        <f t="shared" si="10"/>
        <v xml:space="preserve"> </v>
      </c>
      <c r="C181" s="219"/>
      <c r="D181" s="218"/>
      <c r="E181" s="219"/>
      <c r="F181" s="219"/>
      <c r="G181" s="219"/>
      <c r="H181" s="302">
        <f t="shared" si="9"/>
        <v>0</v>
      </c>
      <c r="I181" s="219"/>
      <c r="J181" s="220"/>
      <c r="K181" s="303">
        <f t="shared" si="11"/>
        <v>162</v>
      </c>
      <c r="L181" s="138"/>
      <c r="M181" s="138"/>
      <c r="N181" s="138"/>
      <c r="O181" s="138"/>
      <c r="P181" s="138"/>
      <c r="Q181" s="138"/>
      <c r="R181" s="138"/>
      <c r="S181" s="138"/>
    </row>
    <row r="182" spans="1:19" hidden="1">
      <c r="A182" s="219"/>
      <c r="B182" s="122" t="str">
        <f t="shared" si="10"/>
        <v xml:space="preserve"> </v>
      </c>
      <c r="C182" s="219"/>
      <c r="D182" s="218"/>
      <c r="E182" s="219"/>
      <c r="F182" s="219"/>
      <c r="G182" s="219"/>
      <c r="H182" s="302">
        <f t="shared" si="9"/>
        <v>0</v>
      </c>
      <c r="I182" s="219"/>
      <c r="J182" s="220"/>
      <c r="K182" s="303">
        <f t="shared" si="11"/>
        <v>163</v>
      </c>
      <c r="L182" s="138"/>
      <c r="M182" s="138"/>
      <c r="N182" s="138"/>
      <c r="O182" s="138"/>
      <c r="P182" s="138"/>
      <c r="Q182" s="138"/>
      <c r="R182" s="138"/>
      <c r="S182" s="138"/>
    </row>
    <row r="183" spans="1:19" hidden="1">
      <c r="A183" s="219"/>
      <c r="B183" s="122" t="str">
        <f t="shared" si="10"/>
        <v xml:space="preserve"> </v>
      </c>
      <c r="C183" s="219"/>
      <c r="D183" s="218"/>
      <c r="E183" s="219"/>
      <c r="F183" s="219"/>
      <c r="G183" s="219"/>
      <c r="H183" s="302">
        <f t="shared" ref="H183:H218" si="12">$F183*$G183</f>
        <v>0</v>
      </c>
      <c r="I183" s="219"/>
      <c r="J183" s="220"/>
      <c r="K183" s="303">
        <f t="shared" si="11"/>
        <v>164</v>
      </c>
      <c r="L183" s="138"/>
      <c r="M183" s="138"/>
      <c r="N183" s="138"/>
      <c r="O183" s="138"/>
      <c r="P183" s="138"/>
      <c r="Q183" s="138"/>
      <c r="R183" s="138"/>
      <c r="S183" s="138"/>
    </row>
    <row r="184" spans="1:19" hidden="1">
      <c r="A184" s="219"/>
      <c r="B184" s="122" t="str">
        <f t="shared" si="10"/>
        <v xml:space="preserve"> </v>
      </c>
      <c r="C184" s="219"/>
      <c r="D184" s="218"/>
      <c r="E184" s="219"/>
      <c r="F184" s="219"/>
      <c r="G184" s="219"/>
      <c r="H184" s="302">
        <f t="shared" si="12"/>
        <v>0</v>
      </c>
      <c r="I184" s="219"/>
      <c r="J184" s="220"/>
      <c r="K184" s="303">
        <f t="shared" si="11"/>
        <v>165</v>
      </c>
      <c r="L184" s="138"/>
      <c r="M184" s="138"/>
      <c r="N184" s="138"/>
      <c r="O184" s="138"/>
      <c r="P184" s="138"/>
      <c r="Q184" s="138"/>
      <c r="R184" s="138"/>
      <c r="S184" s="138"/>
    </row>
    <row r="185" spans="1:19" hidden="1">
      <c r="A185" s="219"/>
      <c r="B185" s="122" t="str">
        <f t="shared" si="10"/>
        <v xml:space="preserve"> </v>
      </c>
      <c r="C185" s="219"/>
      <c r="D185" s="218"/>
      <c r="E185" s="219"/>
      <c r="F185" s="219"/>
      <c r="G185" s="219"/>
      <c r="H185" s="302">
        <f t="shared" si="12"/>
        <v>0</v>
      </c>
      <c r="I185" s="219"/>
      <c r="J185" s="220"/>
      <c r="K185" s="303">
        <f t="shared" si="11"/>
        <v>166</v>
      </c>
      <c r="L185" s="138"/>
      <c r="M185" s="138"/>
      <c r="N185" s="138"/>
      <c r="O185" s="138"/>
      <c r="P185" s="138"/>
      <c r="Q185" s="138"/>
      <c r="R185" s="138"/>
      <c r="S185" s="138"/>
    </row>
    <row r="186" spans="1:19" hidden="1">
      <c r="A186" s="219"/>
      <c r="B186" s="122" t="str">
        <f t="shared" si="10"/>
        <v xml:space="preserve"> </v>
      </c>
      <c r="C186" s="219"/>
      <c r="D186" s="218"/>
      <c r="E186" s="219"/>
      <c r="F186" s="219"/>
      <c r="G186" s="219"/>
      <c r="H186" s="302">
        <f t="shared" si="12"/>
        <v>0</v>
      </c>
      <c r="I186" s="219"/>
      <c r="J186" s="220"/>
      <c r="K186" s="303">
        <f t="shared" si="11"/>
        <v>167</v>
      </c>
      <c r="L186" s="138"/>
      <c r="M186" s="138"/>
      <c r="N186" s="138"/>
      <c r="O186" s="138"/>
      <c r="P186" s="138"/>
      <c r="Q186" s="138"/>
      <c r="R186" s="138"/>
      <c r="S186" s="138"/>
    </row>
    <row r="187" spans="1:19" hidden="1">
      <c r="A187" s="219"/>
      <c r="B187" s="122" t="str">
        <f t="shared" si="10"/>
        <v xml:space="preserve"> </v>
      </c>
      <c r="C187" s="219"/>
      <c r="D187" s="218"/>
      <c r="E187" s="219"/>
      <c r="F187" s="219"/>
      <c r="G187" s="219"/>
      <c r="H187" s="302">
        <f t="shared" si="12"/>
        <v>0</v>
      </c>
      <c r="I187" s="219"/>
      <c r="J187" s="220"/>
      <c r="K187" s="303">
        <f t="shared" si="11"/>
        <v>168</v>
      </c>
      <c r="L187" s="138"/>
      <c r="M187" s="138"/>
      <c r="N187" s="138"/>
      <c r="O187" s="138"/>
      <c r="P187" s="138"/>
      <c r="Q187" s="138"/>
      <c r="R187" s="138"/>
      <c r="S187" s="138"/>
    </row>
    <row r="188" spans="1:19" hidden="1">
      <c r="A188" s="219"/>
      <c r="B188" s="122" t="str">
        <f t="shared" si="10"/>
        <v xml:space="preserve"> </v>
      </c>
      <c r="C188" s="219"/>
      <c r="D188" s="218"/>
      <c r="E188" s="219"/>
      <c r="F188" s="219"/>
      <c r="G188" s="219"/>
      <c r="H188" s="302">
        <f t="shared" si="12"/>
        <v>0</v>
      </c>
      <c r="I188" s="219"/>
      <c r="J188" s="220"/>
      <c r="K188" s="303">
        <f t="shared" si="11"/>
        <v>169</v>
      </c>
      <c r="L188" s="138"/>
      <c r="M188" s="138"/>
      <c r="N188" s="138"/>
      <c r="O188" s="138"/>
      <c r="P188" s="138"/>
      <c r="Q188" s="138"/>
      <c r="R188" s="138"/>
      <c r="S188" s="138"/>
    </row>
    <row r="189" spans="1:19" hidden="1">
      <c r="A189" s="219"/>
      <c r="B189" s="122" t="str">
        <f t="shared" si="10"/>
        <v xml:space="preserve"> </v>
      </c>
      <c r="C189" s="219"/>
      <c r="D189" s="218"/>
      <c r="E189" s="219"/>
      <c r="F189" s="219"/>
      <c r="G189" s="219"/>
      <c r="H189" s="302">
        <f t="shared" si="12"/>
        <v>0</v>
      </c>
      <c r="I189" s="219"/>
      <c r="J189" s="220"/>
      <c r="K189" s="303">
        <f t="shared" si="11"/>
        <v>170</v>
      </c>
      <c r="L189" s="138"/>
      <c r="M189" s="138"/>
      <c r="N189" s="138"/>
      <c r="O189" s="138"/>
      <c r="P189" s="138"/>
      <c r="Q189" s="138"/>
      <c r="R189" s="138"/>
      <c r="S189" s="138"/>
    </row>
    <row r="190" spans="1:19" hidden="1">
      <c r="A190" s="219"/>
      <c r="B190" s="122" t="str">
        <f t="shared" si="10"/>
        <v xml:space="preserve"> </v>
      </c>
      <c r="C190" s="219"/>
      <c r="D190" s="218"/>
      <c r="E190" s="219"/>
      <c r="F190" s="219"/>
      <c r="G190" s="219"/>
      <c r="H190" s="302">
        <f t="shared" si="12"/>
        <v>0</v>
      </c>
      <c r="I190" s="219"/>
      <c r="J190" s="220"/>
      <c r="K190" s="303">
        <f t="shared" si="11"/>
        <v>171</v>
      </c>
      <c r="L190" s="138"/>
      <c r="M190" s="138"/>
      <c r="N190" s="138"/>
      <c r="O190" s="138"/>
      <c r="P190" s="138"/>
      <c r="Q190" s="138"/>
      <c r="R190" s="138"/>
      <c r="S190" s="138"/>
    </row>
    <row r="191" spans="1:19" hidden="1">
      <c r="A191" s="219"/>
      <c r="B191" s="122" t="str">
        <f t="shared" si="10"/>
        <v xml:space="preserve"> </v>
      </c>
      <c r="C191" s="219"/>
      <c r="D191" s="218"/>
      <c r="E191" s="219"/>
      <c r="F191" s="219"/>
      <c r="G191" s="219"/>
      <c r="H191" s="302">
        <f t="shared" si="12"/>
        <v>0</v>
      </c>
      <c r="I191" s="219"/>
      <c r="J191" s="220"/>
      <c r="K191" s="303">
        <f t="shared" si="11"/>
        <v>172</v>
      </c>
      <c r="L191" s="138"/>
      <c r="M191" s="138"/>
      <c r="N191" s="138"/>
      <c r="O191" s="138"/>
      <c r="P191" s="138"/>
      <c r="Q191" s="138"/>
      <c r="R191" s="138"/>
      <c r="S191" s="138"/>
    </row>
    <row r="192" spans="1:19" hidden="1">
      <c r="A192" s="219"/>
      <c r="B192" s="122" t="str">
        <f t="shared" si="10"/>
        <v xml:space="preserve"> </v>
      </c>
      <c r="C192" s="219"/>
      <c r="D192" s="218"/>
      <c r="E192" s="219"/>
      <c r="F192" s="219"/>
      <c r="G192" s="219"/>
      <c r="H192" s="302">
        <f t="shared" si="12"/>
        <v>0</v>
      </c>
      <c r="I192" s="219"/>
      <c r="J192" s="220"/>
      <c r="K192" s="303">
        <f t="shared" si="11"/>
        <v>173</v>
      </c>
      <c r="L192" s="138"/>
      <c r="M192" s="138"/>
      <c r="N192" s="138"/>
      <c r="O192" s="138"/>
      <c r="P192" s="138"/>
      <c r="Q192" s="138"/>
      <c r="R192" s="138"/>
      <c r="S192" s="138"/>
    </row>
    <row r="193" spans="1:19" hidden="1">
      <c r="A193" s="219"/>
      <c r="B193" s="122" t="str">
        <f t="shared" si="10"/>
        <v xml:space="preserve"> </v>
      </c>
      <c r="C193" s="219"/>
      <c r="D193" s="218"/>
      <c r="E193" s="219"/>
      <c r="F193" s="219"/>
      <c r="G193" s="219"/>
      <c r="H193" s="302">
        <f t="shared" si="12"/>
        <v>0</v>
      </c>
      <c r="I193" s="219"/>
      <c r="J193" s="220"/>
      <c r="K193" s="303">
        <f t="shared" si="11"/>
        <v>174</v>
      </c>
      <c r="L193" s="138"/>
      <c r="M193" s="138"/>
      <c r="N193" s="138"/>
      <c r="O193" s="138"/>
      <c r="P193" s="138"/>
      <c r="Q193" s="138"/>
      <c r="R193" s="138"/>
      <c r="S193" s="138"/>
    </row>
    <row r="194" spans="1:19" hidden="1">
      <c r="A194" s="219"/>
      <c r="B194" s="122" t="str">
        <f t="shared" si="10"/>
        <v xml:space="preserve"> </v>
      </c>
      <c r="C194" s="219"/>
      <c r="D194" s="218"/>
      <c r="E194" s="219"/>
      <c r="F194" s="219"/>
      <c r="G194" s="219"/>
      <c r="H194" s="302">
        <f t="shared" si="12"/>
        <v>0</v>
      </c>
      <c r="I194" s="219"/>
      <c r="J194" s="220"/>
      <c r="K194" s="303">
        <f t="shared" si="11"/>
        <v>175</v>
      </c>
      <c r="L194" s="138"/>
      <c r="M194" s="138"/>
      <c r="N194" s="138"/>
      <c r="O194" s="138"/>
      <c r="P194" s="138"/>
      <c r="Q194" s="138"/>
      <c r="R194" s="138"/>
      <c r="S194" s="138"/>
    </row>
    <row r="195" spans="1:19" hidden="1">
      <c r="A195" s="219"/>
      <c r="B195" s="122" t="str">
        <f t="shared" si="10"/>
        <v xml:space="preserve"> </v>
      </c>
      <c r="C195" s="219"/>
      <c r="D195" s="218"/>
      <c r="E195" s="219"/>
      <c r="F195" s="219"/>
      <c r="G195" s="219"/>
      <c r="H195" s="302">
        <f t="shared" si="12"/>
        <v>0</v>
      </c>
      <c r="I195" s="219"/>
      <c r="J195" s="220"/>
      <c r="K195" s="303">
        <f t="shared" si="11"/>
        <v>176</v>
      </c>
      <c r="L195" s="138"/>
      <c r="M195" s="138"/>
      <c r="N195" s="138"/>
      <c r="O195" s="138"/>
      <c r="P195" s="138"/>
      <c r="Q195" s="138"/>
      <c r="R195" s="138"/>
      <c r="S195" s="138"/>
    </row>
    <row r="196" spans="1:19" hidden="1">
      <c r="A196" s="219"/>
      <c r="B196" s="122" t="str">
        <f t="shared" si="10"/>
        <v xml:space="preserve"> </v>
      </c>
      <c r="C196" s="219"/>
      <c r="D196" s="218"/>
      <c r="E196" s="219"/>
      <c r="F196" s="219"/>
      <c r="G196" s="219"/>
      <c r="H196" s="302">
        <f t="shared" si="12"/>
        <v>0</v>
      </c>
      <c r="I196" s="219"/>
      <c r="J196" s="220"/>
      <c r="K196" s="303">
        <f t="shared" si="11"/>
        <v>177</v>
      </c>
      <c r="L196" s="138"/>
      <c r="M196" s="138"/>
      <c r="N196" s="138"/>
      <c r="O196" s="138"/>
      <c r="P196" s="138"/>
      <c r="Q196" s="138"/>
      <c r="R196" s="138"/>
      <c r="S196" s="138"/>
    </row>
    <row r="197" spans="1:19" hidden="1">
      <c r="A197" s="219"/>
      <c r="B197" s="122" t="str">
        <f t="shared" si="10"/>
        <v xml:space="preserve"> </v>
      </c>
      <c r="C197" s="219"/>
      <c r="D197" s="218"/>
      <c r="E197" s="219"/>
      <c r="F197" s="219"/>
      <c r="G197" s="219"/>
      <c r="H197" s="302">
        <f t="shared" si="12"/>
        <v>0</v>
      </c>
      <c r="I197" s="219"/>
      <c r="J197" s="220"/>
      <c r="K197" s="303">
        <f t="shared" si="11"/>
        <v>178</v>
      </c>
      <c r="L197" s="138"/>
      <c r="M197" s="138"/>
      <c r="N197" s="138"/>
      <c r="O197" s="138"/>
      <c r="P197" s="138"/>
      <c r="Q197" s="138"/>
      <c r="R197" s="138"/>
      <c r="S197" s="138"/>
    </row>
    <row r="198" spans="1:19" hidden="1">
      <c r="A198" s="219"/>
      <c r="B198" s="122" t="str">
        <f t="shared" si="10"/>
        <v xml:space="preserve"> </v>
      </c>
      <c r="C198" s="219"/>
      <c r="D198" s="218"/>
      <c r="E198" s="219"/>
      <c r="F198" s="219"/>
      <c r="G198" s="219"/>
      <c r="H198" s="302">
        <f t="shared" si="12"/>
        <v>0</v>
      </c>
      <c r="I198" s="219"/>
      <c r="J198" s="220"/>
      <c r="K198" s="303">
        <f t="shared" si="11"/>
        <v>179</v>
      </c>
      <c r="L198" s="138"/>
      <c r="M198" s="138"/>
      <c r="N198" s="138"/>
      <c r="O198" s="138"/>
      <c r="P198" s="138"/>
      <c r="Q198" s="138"/>
      <c r="R198" s="138"/>
      <c r="S198" s="138"/>
    </row>
    <row r="199" spans="1:19" hidden="1">
      <c r="A199" s="219"/>
      <c r="B199" s="122" t="str">
        <f t="shared" si="10"/>
        <v xml:space="preserve"> </v>
      </c>
      <c r="C199" s="219"/>
      <c r="D199" s="218"/>
      <c r="E199" s="219"/>
      <c r="F199" s="219"/>
      <c r="G199" s="219"/>
      <c r="H199" s="302">
        <f t="shared" si="12"/>
        <v>0</v>
      </c>
      <c r="I199" s="219"/>
      <c r="J199" s="220"/>
      <c r="K199" s="303">
        <f t="shared" si="11"/>
        <v>180</v>
      </c>
      <c r="L199" s="138"/>
      <c r="M199" s="138"/>
      <c r="N199" s="138"/>
      <c r="O199" s="138"/>
      <c r="P199" s="138"/>
      <c r="Q199" s="138"/>
      <c r="R199" s="138"/>
      <c r="S199" s="138"/>
    </row>
    <row r="200" spans="1:19" hidden="1">
      <c r="A200" s="219"/>
      <c r="B200" s="122" t="str">
        <f t="shared" si="10"/>
        <v xml:space="preserve"> </v>
      </c>
      <c r="C200" s="219"/>
      <c r="D200" s="218"/>
      <c r="E200" s="219"/>
      <c r="F200" s="219"/>
      <c r="G200" s="219"/>
      <c r="H200" s="302">
        <f t="shared" si="12"/>
        <v>0</v>
      </c>
      <c r="I200" s="219"/>
      <c r="J200" s="220"/>
      <c r="K200" s="303">
        <f t="shared" si="11"/>
        <v>181</v>
      </c>
      <c r="L200" s="138"/>
      <c r="M200" s="138"/>
      <c r="N200" s="138"/>
      <c r="O200" s="138"/>
      <c r="P200" s="138"/>
      <c r="Q200" s="138"/>
      <c r="R200" s="138"/>
      <c r="S200" s="138"/>
    </row>
    <row r="201" spans="1:19" hidden="1">
      <c r="A201" s="219"/>
      <c r="B201" s="122" t="str">
        <f t="shared" si="10"/>
        <v xml:space="preserve"> </v>
      </c>
      <c r="C201" s="219"/>
      <c r="D201" s="218"/>
      <c r="E201" s="219"/>
      <c r="F201" s="219"/>
      <c r="G201" s="219"/>
      <c r="H201" s="302">
        <f t="shared" si="12"/>
        <v>0</v>
      </c>
      <c r="I201" s="219"/>
      <c r="J201" s="220"/>
      <c r="K201" s="303">
        <f t="shared" ref="K201:K218" si="13">ROW()-19</f>
        <v>182</v>
      </c>
      <c r="L201" s="138"/>
      <c r="M201" s="138"/>
      <c r="N201" s="138"/>
      <c r="O201" s="138"/>
      <c r="P201" s="138"/>
      <c r="Q201" s="138"/>
      <c r="R201" s="138"/>
      <c r="S201" s="138"/>
    </row>
    <row r="202" spans="1:19" hidden="1">
      <c r="A202" s="219"/>
      <c r="B202" s="122" t="str">
        <f t="shared" si="10"/>
        <v xml:space="preserve"> </v>
      </c>
      <c r="C202" s="219"/>
      <c r="D202" s="218"/>
      <c r="E202" s="219"/>
      <c r="F202" s="219"/>
      <c r="G202" s="219"/>
      <c r="H202" s="302">
        <f t="shared" si="12"/>
        <v>0</v>
      </c>
      <c r="I202" s="219"/>
      <c r="J202" s="220"/>
      <c r="K202" s="303">
        <f t="shared" si="13"/>
        <v>183</v>
      </c>
      <c r="L202" s="138"/>
      <c r="M202" s="138"/>
      <c r="N202" s="138"/>
      <c r="O202" s="138"/>
      <c r="P202" s="138"/>
      <c r="Q202" s="138"/>
      <c r="R202" s="138"/>
      <c r="S202" s="138"/>
    </row>
    <row r="203" spans="1:19" hidden="1">
      <c r="A203" s="219"/>
      <c r="B203" s="122" t="str">
        <f t="shared" si="10"/>
        <v xml:space="preserve"> </v>
      </c>
      <c r="C203" s="219"/>
      <c r="D203" s="218"/>
      <c r="E203" s="219"/>
      <c r="F203" s="219"/>
      <c r="G203" s="219"/>
      <c r="H203" s="302">
        <f t="shared" si="12"/>
        <v>0</v>
      </c>
      <c r="I203" s="219"/>
      <c r="J203" s="220"/>
      <c r="K203" s="303">
        <f t="shared" si="13"/>
        <v>184</v>
      </c>
      <c r="L203" s="138"/>
      <c r="M203" s="138"/>
      <c r="N203" s="138"/>
      <c r="O203" s="138"/>
      <c r="P203" s="138"/>
      <c r="Q203" s="138"/>
      <c r="R203" s="138"/>
      <c r="S203" s="138"/>
    </row>
    <row r="204" spans="1:19" hidden="1">
      <c r="A204" s="219"/>
      <c r="B204" s="122" t="str">
        <f t="shared" si="10"/>
        <v xml:space="preserve"> </v>
      </c>
      <c r="C204" s="219"/>
      <c r="D204" s="218"/>
      <c r="E204" s="219"/>
      <c r="F204" s="219"/>
      <c r="G204" s="219"/>
      <c r="H204" s="302">
        <f t="shared" si="12"/>
        <v>0</v>
      </c>
      <c r="I204" s="219"/>
      <c r="J204" s="220"/>
      <c r="K204" s="303">
        <f t="shared" si="13"/>
        <v>185</v>
      </c>
      <c r="L204" s="138"/>
      <c r="M204" s="138"/>
      <c r="N204" s="138"/>
      <c r="O204" s="138"/>
      <c r="P204" s="138"/>
      <c r="Q204" s="138"/>
      <c r="R204" s="138"/>
      <c r="S204" s="138"/>
    </row>
    <row r="205" spans="1:19" hidden="1">
      <c r="A205" s="219"/>
      <c r="B205" s="122" t="str">
        <f t="shared" si="10"/>
        <v xml:space="preserve"> </v>
      </c>
      <c r="C205" s="219"/>
      <c r="D205" s="218"/>
      <c r="E205" s="219"/>
      <c r="F205" s="219"/>
      <c r="G205" s="219"/>
      <c r="H205" s="302">
        <f t="shared" si="12"/>
        <v>0</v>
      </c>
      <c r="I205" s="219"/>
      <c r="J205" s="220"/>
      <c r="K205" s="303">
        <f t="shared" si="13"/>
        <v>186</v>
      </c>
      <c r="L205" s="138"/>
      <c r="M205" s="138"/>
      <c r="N205" s="138"/>
      <c r="O205" s="138"/>
      <c r="P205" s="138"/>
      <c r="Q205" s="138"/>
      <c r="R205" s="138"/>
      <c r="S205" s="138"/>
    </row>
    <row r="206" spans="1:19" hidden="1">
      <c r="A206" s="219"/>
      <c r="B206" s="122" t="str">
        <f t="shared" si="10"/>
        <v xml:space="preserve"> </v>
      </c>
      <c r="C206" s="219"/>
      <c r="D206" s="218"/>
      <c r="E206" s="219"/>
      <c r="F206" s="219"/>
      <c r="G206" s="219"/>
      <c r="H206" s="302">
        <f t="shared" si="12"/>
        <v>0</v>
      </c>
      <c r="I206" s="219"/>
      <c r="J206" s="220"/>
      <c r="K206" s="303">
        <f t="shared" si="13"/>
        <v>187</v>
      </c>
      <c r="L206" s="138"/>
      <c r="M206" s="138"/>
      <c r="N206" s="138"/>
      <c r="O206" s="138"/>
      <c r="P206" s="138"/>
      <c r="Q206" s="138"/>
      <c r="R206" s="138"/>
      <c r="S206" s="138"/>
    </row>
    <row r="207" spans="1:19" hidden="1">
      <c r="A207" s="219"/>
      <c r="B207" s="122" t="str">
        <f t="shared" si="10"/>
        <v xml:space="preserve"> </v>
      </c>
      <c r="C207" s="219"/>
      <c r="D207" s="218"/>
      <c r="E207" s="219"/>
      <c r="F207" s="219"/>
      <c r="G207" s="219"/>
      <c r="H207" s="302">
        <f t="shared" si="12"/>
        <v>0</v>
      </c>
      <c r="I207" s="219"/>
      <c r="J207" s="220"/>
      <c r="K207" s="303">
        <f t="shared" si="13"/>
        <v>188</v>
      </c>
      <c r="L207" s="138"/>
      <c r="M207" s="138"/>
      <c r="N207" s="138"/>
      <c r="O207" s="138"/>
      <c r="P207" s="138"/>
      <c r="Q207" s="138"/>
      <c r="R207" s="138"/>
      <c r="S207" s="138"/>
    </row>
    <row r="208" spans="1:19" hidden="1">
      <c r="A208" s="219"/>
      <c r="B208" s="122" t="str">
        <f t="shared" si="10"/>
        <v xml:space="preserve"> </v>
      </c>
      <c r="C208" s="219"/>
      <c r="D208" s="218"/>
      <c r="E208" s="219"/>
      <c r="F208" s="219"/>
      <c r="G208" s="219"/>
      <c r="H208" s="302">
        <f t="shared" si="12"/>
        <v>0</v>
      </c>
      <c r="I208" s="219"/>
      <c r="J208" s="220"/>
      <c r="K208" s="303">
        <f t="shared" si="13"/>
        <v>189</v>
      </c>
      <c r="L208" s="138"/>
      <c r="M208" s="138"/>
      <c r="N208" s="138"/>
      <c r="O208" s="138"/>
      <c r="P208" s="138"/>
      <c r="Q208" s="138"/>
      <c r="R208" s="138"/>
      <c r="S208" s="138"/>
    </row>
    <row r="209" spans="1:19" hidden="1">
      <c r="A209" s="219"/>
      <c r="B209" s="122" t="str">
        <f t="shared" si="10"/>
        <v xml:space="preserve"> </v>
      </c>
      <c r="C209" s="219"/>
      <c r="D209" s="218"/>
      <c r="E209" s="219"/>
      <c r="F209" s="219"/>
      <c r="G209" s="219"/>
      <c r="H209" s="302">
        <f t="shared" si="12"/>
        <v>0</v>
      </c>
      <c r="I209" s="219"/>
      <c r="J209" s="220"/>
      <c r="K209" s="303">
        <f t="shared" si="13"/>
        <v>190</v>
      </c>
      <c r="L209" s="138"/>
      <c r="M209" s="138"/>
      <c r="N209" s="138"/>
      <c r="O209" s="138"/>
      <c r="P209" s="138"/>
      <c r="Q209" s="138"/>
      <c r="R209" s="138"/>
      <c r="S209" s="138"/>
    </row>
    <row r="210" spans="1:19" hidden="1">
      <c r="A210" s="219"/>
      <c r="B210" s="122" t="str">
        <f t="shared" si="10"/>
        <v xml:space="preserve"> </v>
      </c>
      <c r="C210" s="219"/>
      <c r="D210" s="218"/>
      <c r="E210" s="219"/>
      <c r="F210" s="219"/>
      <c r="G210" s="219"/>
      <c r="H210" s="302">
        <f t="shared" si="12"/>
        <v>0</v>
      </c>
      <c r="I210" s="219"/>
      <c r="J210" s="220"/>
      <c r="K210" s="303">
        <f t="shared" si="13"/>
        <v>191</v>
      </c>
      <c r="L210" s="138"/>
      <c r="M210" s="138"/>
      <c r="N210" s="138"/>
      <c r="O210" s="138"/>
      <c r="P210" s="138"/>
      <c r="Q210" s="138"/>
      <c r="R210" s="138"/>
      <c r="S210" s="138"/>
    </row>
    <row r="211" spans="1:19" hidden="1">
      <c r="A211" s="219"/>
      <c r="B211" s="122" t="str">
        <f t="shared" si="10"/>
        <v xml:space="preserve"> </v>
      </c>
      <c r="C211" s="219"/>
      <c r="D211" s="218"/>
      <c r="E211" s="219"/>
      <c r="F211" s="219"/>
      <c r="G211" s="219"/>
      <c r="H211" s="302">
        <f t="shared" si="12"/>
        <v>0</v>
      </c>
      <c r="I211" s="219"/>
      <c r="J211" s="220"/>
      <c r="K211" s="303">
        <f t="shared" si="13"/>
        <v>192</v>
      </c>
      <c r="L211" s="138"/>
      <c r="M211" s="138"/>
      <c r="N211" s="138"/>
      <c r="O211" s="138"/>
      <c r="P211" s="138"/>
      <c r="Q211" s="138"/>
      <c r="R211" s="138"/>
      <c r="S211" s="138"/>
    </row>
    <row r="212" spans="1:19" hidden="1">
      <c r="A212" s="219"/>
      <c r="B212" s="122" t="str">
        <f t="shared" si="10"/>
        <v xml:space="preserve"> </v>
      </c>
      <c r="C212" s="219"/>
      <c r="D212" s="218"/>
      <c r="E212" s="219"/>
      <c r="F212" s="219"/>
      <c r="G212" s="219"/>
      <c r="H212" s="302">
        <f t="shared" si="12"/>
        <v>0</v>
      </c>
      <c r="I212" s="219"/>
      <c r="J212" s="220"/>
      <c r="K212" s="303">
        <f t="shared" si="13"/>
        <v>193</v>
      </c>
      <c r="L212" s="138"/>
      <c r="M212" s="138"/>
      <c r="N212" s="138"/>
      <c r="O212" s="138"/>
      <c r="P212" s="138"/>
      <c r="Q212" s="138"/>
      <c r="R212" s="138"/>
      <c r="S212" s="138"/>
    </row>
    <row r="213" spans="1:19" hidden="1">
      <c r="A213" s="219"/>
      <c r="B213" s="122" t="str">
        <f t="shared" si="10"/>
        <v xml:space="preserve"> </v>
      </c>
      <c r="C213" s="219"/>
      <c r="D213" s="218"/>
      <c r="E213" s="219"/>
      <c r="F213" s="219"/>
      <c r="G213" s="219"/>
      <c r="H213" s="302">
        <f t="shared" si="12"/>
        <v>0</v>
      </c>
      <c r="I213" s="219"/>
      <c r="J213" s="220"/>
      <c r="K213" s="303">
        <f t="shared" si="13"/>
        <v>194</v>
      </c>
      <c r="L213" s="138"/>
      <c r="M213" s="138"/>
      <c r="N213" s="138"/>
      <c r="O213" s="138"/>
      <c r="P213" s="138"/>
      <c r="Q213" s="138"/>
      <c r="R213" s="138"/>
      <c r="S213" s="138"/>
    </row>
    <row r="214" spans="1:19" hidden="1">
      <c r="A214" s="219"/>
      <c r="B214" s="122" t="str">
        <f t="shared" si="10"/>
        <v xml:space="preserve"> </v>
      </c>
      <c r="C214" s="219"/>
      <c r="D214" s="218"/>
      <c r="E214" s="219"/>
      <c r="F214" s="219"/>
      <c r="G214" s="219"/>
      <c r="H214" s="302">
        <f t="shared" si="12"/>
        <v>0</v>
      </c>
      <c r="I214" s="219"/>
      <c r="J214" s="220"/>
      <c r="K214" s="303">
        <f t="shared" si="13"/>
        <v>195</v>
      </c>
      <c r="L214" s="138"/>
      <c r="M214" s="138"/>
      <c r="N214" s="138"/>
      <c r="O214" s="138"/>
      <c r="P214" s="138"/>
      <c r="Q214" s="138"/>
      <c r="R214" s="138"/>
      <c r="S214" s="138"/>
    </row>
    <row r="215" spans="1:19" hidden="1">
      <c r="A215" s="219"/>
      <c r="B215" s="122" t="str">
        <f t="shared" si="10"/>
        <v xml:space="preserve"> </v>
      </c>
      <c r="C215" s="219"/>
      <c r="D215" s="218"/>
      <c r="E215" s="219"/>
      <c r="F215" s="219"/>
      <c r="G215" s="219"/>
      <c r="H215" s="302">
        <f t="shared" si="12"/>
        <v>0</v>
      </c>
      <c r="I215" s="219"/>
      <c r="J215" s="220"/>
      <c r="K215" s="303">
        <f t="shared" si="13"/>
        <v>196</v>
      </c>
      <c r="L215" s="138"/>
      <c r="M215" s="138"/>
      <c r="N215" s="138"/>
      <c r="O215" s="138"/>
      <c r="P215" s="138"/>
      <c r="Q215" s="138"/>
      <c r="R215" s="138"/>
      <c r="S215" s="138"/>
    </row>
    <row r="216" spans="1:19" hidden="1">
      <c r="A216" s="219"/>
      <c r="B216" s="122" t="str">
        <f t="shared" si="10"/>
        <v xml:space="preserve"> </v>
      </c>
      <c r="C216" s="219"/>
      <c r="D216" s="218"/>
      <c r="E216" s="219"/>
      <c r="F216" s="219"/>
      <c r="G216" s="219"/>
      <c r="H216" s="302">
        <f t="shared" si="12"/>
        <v>0</v>
      </c>
      <c r="I216" s="219"/>
      <c r="J216" s="220"/>
      <c r="K216" s="303">
        <f t="shared" si="13"/>
        <v>197</v>
      </c>
      <c r="L216" s="138"/>
      <c r="M216" s="138"/>
      <c r="N216" s="138"/>
      <c r="O216" s="138"/>
      <c r="P216" s="138"/>
      <c r="Q216" s="138"/>
      <c r="R216" s="138"/>
      <c r="S216" s="138"/>
    </row>
    <row r="217" spans="1:19" hidden="1">
      <c r="A217" s="219"/>
      <c r="B217" s="122" t="str">
        <f t="shared" si="10"/>
        <v xml:space="preserve"> </v>
      </c>
      <c r="C217" s="219"/>
      <c r="D217" s="218"/>
      <c r="E217" s="219"/>
      <c r="F217" s="219"/>
      <c r="G217" s="219"/>
      <c r="H217" s="302">
        <f t="shared" si="12"/>
        <v>0</v>
      </c>
      <c r="I217" s="219"/>
      <c r="J217" s="220"/>
      <c r="K217" s="303">
        <f t="shared" si="13"/>
        <v>198</v>
      </c>
      <c r="L217" s="138"/>
      <c r="M217" s="138"/>
      <c r="N217" s="138"/>
      <c r="O217" s="138"/>
      <c r="P217" s="138"/>
      <c r="Q217" s="138"/>
      <c r="R217" s="138"/>
      <c r="S217" s="138"/>
    </row>
    <row r="218" spans="1:19" hidden="1">
      <c r="A218" s="219"/>
      <c r="B218" s="122" t="str">
        <f t="shared" si="10"/>
        <v xml:space="preserve"> </v>
      </c>
      <c r="C218" s="219"/>
      <c r="D218" s="218"/>
      <c r="E218" s="219"/>
      <c r="F218" s="219"/>
      <c r="G218" s="219"/>
      <c r="H218" s="302">
        <f t="shared" si="12"/>
        <v>0</v>
      </c>
      <c r="I218" s="219"/>
      <c r="J218" s="220"/>
      <c r="K218" s="303">
        <f t="shared" si="13"/>
        <v>199</v>
      </c>
      <c r="L218" s="138"/>
      <c r="M218" s="138"/>
      <c r="N218" s="138"/>
      <c r="O218" s="138"/>
      <c r="P218" s="138"/>
      <c r="Q218" s="138"/>
      <c r="R218" s="138"/>
      <c r="S218" s="138"/>
    </row>
    <row r="219" spans="1:19">
      <c r="A219" s="304" t="s">
        <v>644</v>
      </c>
      <c r="B219" s="304"/>
      <c r="C219" s="304"/>
      <c r="D219" s="292"/>
      <c r="E219" s="294"/>
      <c r="F219" s="294"/>
      <c r="G219" s="294"/>
      <c r="H219" s="294">
        <f>SUM(H119:H218)</f>
        <v>-1667867.6123999979</v>
      </c>
      <c r="I219" s="294"/>
      <c r="J219" s="295"/>
      <c r="K219" s="213" t="s">
        <v>1166</v>
      </c>
      <c r="L219" s="138"/>
      <c r="M219" s="138"/>
      <c r="N219" s="138"/>
      <c r="O219" s="138"/>
      <c r="P219" s="138"/>
      <c r="Q219" s="138"/>
      <c r="R219" s="138"/>
      <c r="S219" s="138"/>
    </row>
  </sheetData>
  <sheetProtection password="DABD" sheet="1" objects="1" scenarios="1" formatColumns="0" formatRows="0" autoFilter="0"/>
  <mergeCells count="3">
    <mergeCell ref="D8:J8"/>
    <mergeCell ref="D116:J116"/>
    <mergeCell ref="C2:I5"/>
  </mergeCells>
  <conditionalFormatting sqref="B11:B58">
    <cfRule type="expression" dxfId="33" priority="7">
      <formula>$A11&lt;&gt;"Other"</formula>
    </cfRule>
  </conditionalFormatting>
  <conditionalFormatting sqref="B119:B120 B126:B166">
    <cfRule type="expression" dxfId="32" priority="6">
      <formula>$A119&lt;&gt;"Other"</formula>
    </cfRule>
  </conditionalFormatting>
  <conditionalFormatting sqref="B167:B218">
    <cfRule type="expression" dxfId="31" priority="5">
      <formula>$A167&lt;&gt;"Other"</formula>
    </cfRule>
  </conditionalFormatting>
  <conditionalFormatting sqref="B59:B110">
    <cfRule type="expression" dxfId="30" priority="4">
      <formula>$A59&lt;&gt;"Other"</formula>
    </cfRule>
  </conditionalFormatting>
  <conditionalFormatting sqref="B121">
    <cfRule type="expression" dxfId="29" priority="3">
      <formula>$A121&lt;&gt;"Other"</formula>
    </cfRule>
  </conditionalFormatting>
  <conditionalFormatting sqref="B122">
    <cfRule type="expression" dxfId="28" priority="2">
      <formula>$A122&lt;&gt;"Other"</formula>
    </cfRule>
  </conditionalFormatting>
  <conditionalFormatting sqref="B123:B125">
    <cfRule type="expression" dxfId="27" priority="1">
      <formula>$A123&lt;&gt;"Other"</formula>
    </cfRule>
  </conditionalFormatting>
  <pageMargins left="0.7" right="0.7" top="0.75" bottom="0.75" header="0.3" footer="0.3"/>
  <pageSetup paperSize="8" scale="6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a!$AG$2:$AG$6</xm:f>
          </x14:formula1>
          <xm:sqref>A119:A218 A11:A110</xm:sqref>
        </x14:dataValidation>
        <x14:dataValidation type="list" allowBlank="1" showInputMessage="1" showErrorMessage="1">
          <x14:formula1>
            <xm:f>a!$C$2:$C$9</xm:f>
          </x14:formula1>
          <xm:sqref>E119:E218 E11:E110</xm:sqref>
        </x14:dataValidation>
        <x14:dataValidation type="list" allowBlank="1" showInputMessage="1" showErrorMessage="1">
          <x14:formula1>
            <xm:f>a!$N$2:$N$5</xm:f>
          </x14:formula1>
          <xm:sqref>D119:D218 D11:D110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
  <sheetViews>
    <sheetView workbookViewId="0">
      <selection activeCell="B2" sqref="B2"/>
    </sheetView>
  </sheetViews>
  <sheetFormatPr defaultRowHeight="15.05"/>
  <sheetData>
    <row r="1" spans="1:1">
      <c r="A1" s="274"/>
    </row>
  </sheetData>
  <sheetProtection password="DABD" sheet="1" objects="1" scenarios="1" formatColumns="0" formatRows="0" autoFilter="0"/>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List Box 1">
              <controlPr defaultSize="0" autoLine="0" autoPict="0">
                <anchor moveWithCells="1">
                  <from>
                    <xdr:col>1</xdr:col>
                    <xdr:colOff>216131</xdr:colOff>
                    <xdr:row>3</xdr:row>
                    <xdr:rowOff>66502</xdr:rowOff>
                  </from>
                  <to>
                    <xdr:col>3</xdr:col>
                    <xdr:colOff>515389</xdr:colOff>
                    <xdr:row>18</xdr:row>
                    <xdr:rowOff>182880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L47"/>
  <sheetViews>
    <sheetView zoomScale="90" zoomScaleNormal="90" workbookViewId="0">
      <pane ySplit="4" topLeftCell="A5" activePane="bottomLeft" state="frozen"/>
      <selection pane="bottomLeft" activeCell="G5" sqref="G5"/>
    </sheetView>
  </sheetViews>
  <sheetFormatPr defaultColWidth="9.109375" defaultRowHeight="15.05"/>
  <cols>
    <col min="1" max="1" width="31" style="135" customWidth="1"/>
    <col min="2" max="2" width="14.109375" style="135" customWidth="1"/>
    <col min="3" max="3" width="16.5546875" style="135" customWidth="1"/>
    <col min="4" max="4" width="15.5546875" style="135" customWidth="1"/>
    <col min="5" max="5" width="16.44140625" style="135" customWidth="1"/>
    <col min="6" max="6" width="17.109375" style="135" customWidth="1"/>
    <col min="7" max="7" width="17.88671875" style="135" customWidth="1"/>
    <col min="8" max="8" width="17" style="135" customWidth="1"/>
    <col min="9" max="11" width="16.109375" style="135" customWidth="1"/>
    <col min="12" max="12" width="15.6640625" style="135" customWidth="1"/>
    <col min="13" max="13" width="12.6640625" style="135" customWidth="1"/>
    <col min="14" max="14" width="11.44140625" style="135" customWidth="1"/>
    <col min="15" max="16384" width="9.109375" style="135"/>
  </cols>
  <sheetData>
    <row r="1" spans="1:38" ht="23.25" customHeight="1" thickBot="1">
      <c r="A1" s="133" t="str">
        <f>'1. HWB Funding Sources'!A4</f>
        <v>Leicester</v>
      </c>
      <c r="I1" s="224" t="s">
        <v>1153</v>
      </c>
    </row>
    <row r="2" spans="1:38" ht="15.75" thickBot="1">
      <c r="H2" s="137"/>
      <c r="I2" s="139" t="s">
        <v>967</v>
      </c>
    </row>
    <row r="3" spans="1:38" ht="15.75" customHeight="1" thickBot="1">
      <c r="A3" s="824" t="s">
        <v>1495</v>
      </c>
      <c r="B3" s="824"/>
      <c r="C3" s="824"/>
      <c r="D3" s="824"/>
      <c r="E3" s="824"/>
      <c r="F3" s="824"/>
      <c r="G3" s="825"/>
      <c r="H3" s="570"/>
      <c r="I3" s="139" t="s">
        <v>1285</v>
      </c>
    </row>
    <row r="4" spans="1:38" ht="16.55" customHeight="1" thickBot="1">
      <c r="A4" s="824"/>
      <c r="B4" s="824"/>
      <c r="C4" s="824"/>
      <c r="D4" s="824"/>
      <c r="E4" s="824"/>
      <c r="F4" s="824"/>
      <c r="G4" s="825"/>
      <c r="H4" s="140"/>
      <c r="I4" s="139" t="s">
        <v>1286</v>
      </c>
    </row>
    <row r="5" spans="1:38" ht="24.05" customHeight="1" thickBot="1">
      <c r="A5" s="142" t="s">
        <v>1499</v>
      </c>
    </row>
    <row r="6" spans="1:38" s="138" customFormat="1" ht="15.05" customHeight="1" thickBot="1">
      <c r="A6" s="834" t="s">
        <v>806</v>
      </c>
      <c r="B6" s="835"/>
      <c r="C6" s="842" t="s">
        <v>1500</v>
      </c>
      <c r="D6" s="843"/>
      <c r="E6" s="843"/>
      <c r="F6" s="844"/>
      <c r="G6" s="859" t="s">
        <v>1494</v>
      </c>
      <c r="H6" s="860"/>
      <c r="I6" s="860"/>
      <c r="J6" s="861"/>
      <c r="K6" s="573"/>
      <c r="L6" s="178"/>
    </row>
    <row r="7" spans="1:38" s="138" customFormat="1" ht="22.6" customHeight="1">
      <c r="A7" s="836"/>
      <c r="B7" s="837"/>
      <c r="C7" s="841" t="s">
        <v>1536</v>
      </c>
      <c r="D7" s="840" t="s">
        <v>823</v>
      </c>
      <c r="E7" s="840" t="s">
        <v>824</v>
      </c>
      <c r="F7" s="829" t="s">
        <v>825</v>
      </c>
      <c r="G7" s="830" t="s">
        <v>826</v>
      </c>
      <c r="H7" s="832" t="s">
        <v>827</v>
      </c>
      <c r="I7" s="832" t="s">
        <v>828</v>
      </c>
      <c r="J7" s="863" t="s">
        <v>829</v>
      </c>
      <c r="K7" s="865" t="s">
        <v>830</v>
      </c>
      <c r="L7" s="178"/>
      <c r="M7" s="179"/>
      <c r="N7" s="404"/>
    </row>
    <row r="8" spans="1:38" s="138" customFormat="1" ht="27" customHeight="1" thickBot="1">
      <c r="A8" s="838"/>
      <c r="B8" s="839"/>
      <c r="C8" s="841"/>
      <c r="D8" s="840"/>
      <c r="E8" s="840"/>
      <c r="F8" s="829"/>
      <c r="G8" s="831"/>
      <c r="H8" s="833"/>
      <c r="I8" s="833"/>
      <c r="J8" s="864"/>
      <c r="K8" s="866"/>
      <c r="L8" s="158"/>
      <c r="M8" s="855" t="s">
        <v>1342</v>
      </c>
      <c r="N8" s="179"/>
      <c r="O8" s="179"/>
      <c r="P8" s="179"/>
      <c r="Q8" s="179"/>
      <c r="R8" s="145"/>
      <c r="S8" s="145"/>
      <c r="T8" s="145"/>
      <c r="U8" s="145"/>
      <c r="V8" s="145"/>
      <c r="W8" s="145"/>
      <c r="X8" s="145"/>
      <c r="Y8" s="145"/>
      <c r="Z8" s="145"/>
      <c r="AA8" s="145"/>
      <c r="AB8" s="145"/>
      <c r="AC8" s="145"/>
      <c r="AD8" s="145"/>
      <c r="AE8" s="145"/>
      <c r="AF8" s="145"/>
      <c r="AG8" s="145"/>
      <c r="AH8" s="145"/>
      <c r="AI8" s="145"/>
      <c r="AJ8" s="145"/>
      <c r="AK8" s="145"/>
      <c r="AL8" s="145"/>
    </row>
    <row r="9" spans="1:38" s="138" customFormat="1" ht="19.5" customHeight="1" thickBot="1">
      <c r="A9" s="826" t="s">
        <v>1291</v>
      </c>
      <c r="B9" s="437" t="s">
        <v>1336</v>
      </c>
      <c r="C9" s="579">
        <f t="shared" ref="C9:K9" si="0">C10/C11*100000</f>
        <v>2465.2984959051828</v>
      </c>
      <c r="D9" s="580">
        <f t="shared" si="0"/>
        <v>1974.6814559395189</v>
      </c>
      <c r="E9" s="580">
        <f t="shared" si="0"/>
        <v>2100.091154679983</v>
      </c>
      <c r="F9" s="581">
        <f t="shared" si="0"/>
        <v>2078.0476446875973</v>
      </c>
      <c r="G9" s="627">
        <f t="shared" si="0"/>
        <v>2364.5433754075193</v>
      </c>
      <c r="H9" s="628">
        <f t="shared" si="0"/>
        <v>1894.0626061209493</v>
      </c>
      <c r="I9" s="628">
        <f t="shared" si="0"/>
        <v>2014.2735515774298</v>
      </c>
      <c r="J9" s="629">
        <f t="shared" si="0"/>
        <v>1993.2514404261733</v>
      </c>
      <c r="K9" s="582">
        <f t="shared" si="0"/>
        <v>2266.9190581664984</v>
      </c>
      <c r="L9" s="181"/>
      <c r="M9" s="855"/>
      <c r="N9" s="632"/>
      <c r="O9" s="589"/>
      <c r="P9" s="589"/>
      <c r="Q9" s="589"/>
      <c r="R9" s="589"/>
      <c r="S9" s="589"/>
      <c r="T9" s="589"/>
      <c r="U9" s="568"/>
      <c r="V9" s="568"/>
      <c r="W9" s="568"/>
      <c r="X9" s="568"/>
      <c r="Y9" s="568"/>
      <c r="Z9" s="568"/>
      <c r="AA9" s="568"/>
      <c r="AB9" s="568"/>
      <c r="AC9" s="568"/>
      <c r="AD9" s="568"/>
      <c r="AE9" s="568"/>
      <c r="AF9" s="568"/>
      <c r="AG9" s="568"/>
      <c r="AH9" s="568"/>
      <c r="AI9" s="568"/>
      <c r="AJ9" s="568"/>
      <c r="AK9" s="568"/>
      <c r="AL9" s="569"/>
    </row>
    <row r="10" spans="1:38" s="138" customFormat="1" ht="16.55" customHeight="1">
      <c r="A10" s="827"/>
      <c r="B10" s="168" t="s">
        <v>811</v>
      </c>
      <c r="C10" s="590">
        <f>ROUND(I41,0)</f>
        <v>8276</v>
      </c>
      <c r="D10" s="591">
        <f t="shared" ref="D10:F10" si="1">ROUND(J41,0)</f>
        <v>6629</v>
      </c>
      <c r="E10" s="591">
        <f t="shared" si="1"/>
        <v>7050</v>
      </c>
      <c r="F10" s="592">
        <f t="shared" si="1"/>
        <v>6976</v>
      </c>
      <c r="G10" s="9">
        <f>ROUND(C10*0.965,0)</f>
        <v>7986</v>
      </c>
      <c r="H10" s="10">
        <f>ROUND(D10*0.965,0)</f>
        <v>6397</v>
      </c>
      <c r="I10" s="10">
        <f>ROUND(E10*0.965,0)</f>
        <v>6803</v>
      </c>
      <c r="J10" s="11">
        <f>ROUND(F10*0.965,0)</f>
        <v>6732</v>
      </c>
      <c r="K10" s="215">
        <f>ROUND(G10*0.965,0)</f>
        <v>7706</v>
      </c>
      <c r="L10" s="186"/>
      <c r="M10" s="855"/>
      <c r="N10" s="593"/>
      <c r="O10" s="593"/>
      <c r="P10" s="593"/>
      <c r="Q10" s="593"/>
      <c r="R10" s="593"/>
      <c r="S10" s="593"/>
      <c r="T10" s="593"/>
    </row>
    <row r="11" spans="1:38" s="138" customFormat="1" ht="16.55" customHeight="1" thickBot="1">
      <c r="A11" s="828"/>
      <c r="B11" s="171" t="s">
        <v>812</v>
      </c>
      <c r="C11" s="190">
        <f>VLOOKUP($A$1,Data!$CM$5:$FK$156,75,0)</f>
        <v>335699.71399999998</v>
      </c>
      <c r="D11" s="188">
        <f>VLOOKUP($A$1,Data!$CM$5:$FK$156,75,0)</f>
        <v>335699.71399999998</v>
      </c>
      <c r="E11" s="188">
        <f>VLOOKUP($A$1,Data!$CM$5:$FK$156,75,0)</f>
        <v>335699.71399999998</v>
      </c>
      <c r="F11" s="189">
        <f>VLOOKUP($A$1,Data!$CM$5:$FK$156,75,0)</f>
        <v>335699.71399999998</v>
      </c>
      <c r="G11" s="190">
        <f>VLOOKUP($A$1,Data!$CM$5:$FK$156,76,0)</f>
        <v>337739.62800000003</v>
      </c>
      <c r="H11" s="188">
        <f>VLOOKUP($A$1,Data!$CM$5:$FK$156,76,0)</f>
        <v>337739.62800000003</v>
      </c>
      <c r="I11" s="188">
        <f>VLOOKUP($A$1,Data!$CM$5:$FK$156,76,0)</f>
        <v>337739.62800000003</v>
      </c>
      <c r="J11" s="191">
        <f>VLOOKUP($A$1,Data!$CM$5:$FK$156,76,0)</f>
        <v>337739.62800000003</v>
      </c>
      <c r="K11" s="151">
        <f>VLOOKUP($A$1,Data!$CM$5:$FK$156,77,0)</f>
        <v>339932.73700000002</v>
      </c>
      <c r="L11" s="192"/>
      <c r="M11" s="855"/>
      <c r="N11" s="593"/>
      <c r="O11" s="593"/>
      <c r="P11" s="593"/>
      <c r="Q11" s="593"/>
      <c r="R11" s="593"/>
      <c r="S11" s="593"/>
      <c r="T11" s="593"/>
    </row>
    <row r="12" spans="1:38" s="145" customFormat="1" ht="17.2" customHeight="1">
      <c r="A12" s="153"/>
      <c r="B12" s="158"/>
      <c r="C12" s="158"/>
      <c r="D12" s="194"/>
      <c r="E12" s="194"/>
      <c r="F12" s="862" t="s">
        <v>1496</v>
      </c>
      <c r="G12" s="862"/>
      <c r="H12" s="196">
        <f>IF(SUM(G10:J10)=0,0,SUM(G10:J10)-SUM(C10:F10))</f>
        <v>-1013</v>
      </c>
      <c r="M12" s="855"/>
      <c r="N12" s="179"/>
      <c r="O12" s="179"/>
      <c r="P12" s="179"/>
      <c r="Q12" s="179"/>
      <c r="R12" s="179"/>
      <c r="S12" s="179"/>
      <c r="T12" s="179"/>
    </row>
    <row r="13" spans="1:38" s="145" customFormat="1" ht="17.2" customHeight="1" thickBot="1">
      <c r="A13" s="153"/>
      <c r="B13" s="158"/>
      <c r="C13" s="158"/>
      <c r="D13" s="197"/>
      <c r="E13" s="197"/>
      <c r="F13" s="862" t="s">
        <v>1497</v>
      </c>
      <c r="G13" s="862"/>
      <c r="H13" s="574">
        <f>IF(OR(G10&lt;0,H10&lt;0,I10&lt;0,J10&lt;0),"",IF(OR(ISTEXT(G10),ISTEXT(H10),ISTEXT(I10),ISTEXT(J10)),"",IF(SUM(G10:J10)=0,"",(SUM(G10:J10)/SUM(C10:F10))-1)))</f>
        <v>-3.5014344474784798E-2</v>
      </c>
      <c r="I13" s="822" t="s">
        <v>1836</v>
      </c>
      <c r="J13" s="198"/>
      <c r="K13" s="822" t="s">
        <v>1835</v>
      </c>
    </row>
    <row r="14" spans="1:38" s="145" customFormat="1" ht="17.2" customHeight="1" thickBot="1">
      <c r="A14" s="162"/>
      <c r="B14" s="158"/>
      <c r="C14" s="158"/>
      <c r="D14" s="197"/>
      <c r="E14" s="197"/>
      <c r="F14" s="862" t="s">
        <v>1498</v>
      </c>
      <c r="G14" s="862"/>
      <c r="H14" s="197">
        <f>IF(H13="","",-H12*J14)</f>
        <v>1509370</v>
      </c>
      <c r="I14" s="867"/>
      <c r="J14" s="744">
        <v>1490</v>
      </c>
      <c r="K14" s="823"/>
      <c r="L14" s="632"/>
      <c r="M14" s="589"/>
      <c r="N14" s="589"/>
      <c r="O14" s="589"/>
      <c r="P14" s="589"/>
      <c r="Q14" s="589"/>
      <c r="R14" s="589"/>
      <c r="S14" s="568"/>
      <c r="T14" s="568"/>
      <c r="U14" s="568"/>
      <c r="V14" s="568"/>
      <c r="W14" s="568"/>
      <c r="X14" s="568"/>
      <c r="Y14" s="568"/>
      <c r="Z14" s="568"/>
      <c r="AA14" s="568"/>
      <c r="AB14" s="568"/>
      <c r="AC14" s="568"/>
      <c r="AD14" s="568"/>
      <c r="AE14" s="568"/>
      <c r="AF14" s="568"/>
      <c r="AG14" s="568"/>
      <c r="AH14" s="568"/>
      <c r="AI14" s="568"/>
      <c r="AJ14" s="569"/>
    </row>
    <row r="15" spans="1:38">
      <c r="I15" s="867"/>
      <c r="K15" s="823"/>
    </row>
    <row r="16" spans="1:38" ht="45" customHeight="1"/>
    <row r="17" spans="1:13" ht="18" customHeight="1" thickBot="1">
      <c r="A17" s="576" t="s">
        <v>1341</v>
      </c>
      <c r="H17" s="305"/>
    </row>
    <row r="18" spans="1:13" ht="18" customHeight="1" thickBot="1">
      <c r="A18" s="847" t="s">
        <v>1326</v>
      </c>
      <c r="B18" s="848"/>
      <c r="C18" s="842" t="s">
        <v>1493</v>
      </c>
      <c r="D18" s="843"/>
      <c r="E18" s="843"/>
      <c r="F18" s="844"/>
      <c r="G18" s="868" t="str">
        <f>"% CCG registered population that has resident population in "&amp; A1</f>
        <v>% CCG registered population that has resident population in Leicester</v>
      </c>
      <c r="H18" s="851" t="str">
        <f>"% "&amp;A1&amp;" resident population that is in CCG registered population"</f>
        <v>% Leicester resident population that is in CCG registered population</v>
      </c>
      <c r="I18" s="842" t="s">
        <v>1348</v>
      </c>
      <c r="J18" s="843"/>
      <c r="K18" s="843"/>
      <c r="L18" s="844"/>
    </row>
    <row r="19" spans="1:13" ht="72.849999999999994" customHeight="1" thickBot="1">
      <c r="A19" s="849"/>
      <c r="B19" s="850"/>
      <c r="C19" s="613" t="s">
        <v>1537</v>
      </c>
      <c r="D19" s="614" t="s">
        <v>1344</v>
      </c>
      <c r="E19" s="614" t="s">
        <v>1345</v>
      </c>
      <c r="F19" s="615" t="s">
        <v>1346</v>
      </c>
      <c r="G19" s="869"/>
      <c r="H19" s="852"/>
      <c r="I19" s="616" t="s">
        <v>1537</v>
      </c>
      <c r="J19" s="614" t="s">
        <v>1344</v>
      </c>
      <c r="K19" s="614" t="s">
        <v>1345</v>
      </c>
      <c r="L19" s="615" t="s">
        <v>1346</v>
      </c>
    </row>
    <row r="20" spans="1:13">
      <c r="A20" s="853" t="str">
        <f>IF(ISERROR(VLOOKUP($A$1&amp;$M20,'9.Non-elective admissions - Map'!$F$5:$U$899,2,0)),"",VLOOKUP($A$1&amp;$M20,'9.Non-elective admissions - Map'!$F$5:$U$899,2,0))</f>
        <v>NHS East Leicestershire and Rutland CCG</v>
      </c>
      <c r="B20" s="854"/>
      <c r="C20" s="594">
        <f>IF(ISERROR(VLOOKUP($A20,'8.Non-elective admissions - CCG'!$E$5:$Q$216,5,0)),"",VLOOKUP($A20,'8.Non-elective admissions - CCG'!$E$5:$Q$216,5,0))</f>
        <v>7028</v>
      </c>
      <c r="D20" s="583">
        <f>IF(ISERROR(VLOOKUP($A20,'8.Non-elective admissions - CCG'!$E$5:$Q$216,6,0)),"",VLOOKUP($A20,'8.Non-elective admissions - CCG'!$E$5:$Q$216,6,0))</f>
        <v>6017</v>
      </c>
      <c r="E20" s="583">
        <f>IF(ISERROR(VLOOKUP($A20,'8.Non-elective admissions - CCG'!$E$5:$Q$216,7,0)),"",VLOOKUP($A20,'8.Non-elective admissions - CCG'!$E$5:$Q$216,7,0))</f>
        <v>6384</v>
      </c>
      <c r="F20" s="584">
        <f>IF(ISERROR(VLOOKUP($A20,'8.Non-elective admissions - CCG'!$E$5:$Q$216,8,0)),"",VLOOKUP($A20,'8.Non-elective admissions - CCG'!$E$5:$Q$216,8,0))</f>
        <v>6326</v>
      </c>
      <c r="G20" s="595">
        <f>IF(ISERROR(VLOOKUP($A$1&amp;M20,'9.Non-elective admissions - Map'!$F$5:$U$899,3,0)),"",VLOOKUP($A$1&amp;M20,'9.Non-elective admissions - Map'!$F$5:$U$899,3,0))</f>
        <v>2.6591709058345049E-2</v>
      </c>
      <c r="H20" s="596">
        <f>IF(ISERROR(VLOOKUP($A$1&amp;M20,'9.Non-elective admissions - Map'!$F$5:$U$899,4,0)),"",VLOOKUP($A$1&amp;M20,'9.Non-elective admissions - Map'!$F$5:$U$899,4,0))</f>
        <v>2.3249934072626134E-2</v>
      </c>
      <c r="I20" s="597">
        <f t="shared" ref="I20:L35" si="2">IF($G20="","",C20*$G20)</f>
        <v>186.886531262049</v>
      </c>
      <c r="J20" s="598">
        <f t="shared" si="2"/>
        <v>160.00231340406216</v>
      </c>
      <c r="K20" s="598">
        <f t="shared" si="2"/>
        <v>169.7614706284748</v>
      </c>
      <c r="L20" s="599">
        <f t="shared" si="2"/>
        <v>168.21915150309079</v>
      </c>
      <c r="M20" s="228">
        <v>1</v>
      </c>
    </row>
    <row r="21" spans="1:13">
      <c r="A21" s="845" t="str">
        <f>IF(ISERROR(VLOOKUP($A$1&amp;$M21,'9.Non-elective admissions - Map'!$F$5:$U$899,2,0)),"",VLOOKUP($A$1&amp;$M21,'9.Non-elective admissions - Map'!$F$5:$U$899,2,0))</f>
        <v>NHS Leicester City CCG</v>
      </c>
      <c r="B21" s="846"/>
      <c r="C21" s="600">
        <f>IF(ISERROR(VLOOKUP($A21,'8.Non-elective admissions - CCG'!$E$5:$Q$216,5,0)),"",VLOOKUP($A21,'8.Non-elective admissions - CCG'!$E$5:$Q$216,5,0))</f>
        <v>8515</v>
      </c>
      <c r="D21" s="585">
        <f>IF(ISERROR(VLOOKUP($A21,'8.Non-elective admissions - CCG'!$E$5:$Q$216,6,0)),"",VLOOKUP($A21,'8.Non-elective admissions - CCG'!$E$5:$Q$216,6,0))</f>
        <v>6796</v>
      </c>
      <c r="E21" s="585">
        <f>IF(ISERROR(VLOOKUP($A21,'8.Non-elective admissions - CCG'!$E$5:$Q$216,7,0)),"",VLOOKUP($A21,'8.Non-elective admissions - CCG'!$E$5:$Q$216,7,0))</f>
        <v>7229</v>
      </c>
      <c r="F21" s="586">
        <f>IF(ISERROR(VLOOKUP($A21,'8.Non-elective admissions - CCG'!$E$5:$Q$216,8,0)),"",VLOOKUP($A21,'8.Non-elective admissions - CCG'!$E$5:$Q$216,8,0))</f>
        <v>7152</v>
      </c>
      <c r="G21" s="601">
        <f>IF(ISERROR(VLOOKUP($A$1&amp;M21,'9.Non-elective admissions - Map'!$F$5:$U$899,3,0)),"",VLOOKUP($A$1&amp;M21,'9.Non-elective admissions - Map'!$F$5:$U$899,3,0))</f>
        <v>0.92504314406411792</v>
      </c>
      <c r="H21" s="602">
        <f>IF(ISERROR(VLOOKUP($A$1&amp;M21,'9.Non-elective admissions - Map'!$F$5:$U$899,4,0)),"",VLOOKUP($A$1&amp;M21,'9.Non-elective admissions - Map'!$F$5:$U$899,4,0))</f>
        <v>0.95012900016040047</v>
      </c>
      <c r="I21" s="603">
        <f t="shared" si="2"/>
        <v>7876.7423717059637</v>
      </c>
      <c r="J21" s="604">
        <f t="shared" si="2"/>
        <v>6286.5932070597455</v>
      </c>
      <c r="K21" s="604">
        <f t="shared" si="2"/>
        <v>6687.1368884395088</v>
      </c>
      <c r="L21" s="605">
        <f t="shared" si="2"/>
        <v>6615.9085663465712</v>
      </c>
      <c r="M21" s="228">
        <v>2</v>
      </c>
    </row>
    <row r="22" spans="1:13">
      <c r="A22" s="845" t="str">
        <f>IF(ISERROR(VLOOKUP($A$1&amp;$M22,'9.Non-elective admissions - Map'!$F$5:$U$899,2,0)),"",VLOOKUP($A$1&amp;$M22,'9.Non-elective admissions - Map'!$F$5:$U$899,2,0))</f>
        <v>NHS West Leicestershire CCG</v>
      </c>
      <c r="B22" s="846"/>
      <c r="C22" s="600">
        <f>IF(ISERROR(VLOOKUP($A22,'8.Non-elective admissions - CCG'!$E$5:$Q$216,5,0)),"",VLOOKUP($A22,'8.Non-elective admissions - CCG'!$E$5:$Q$216,5,0))</f>
        <v>8087</v>
      </c>
      <c r="D22" s="585">
        <f>IF(ISERROR(VLOOKUP($A22,'8.Non-elective admissions - CCG'!$E$5:$Q$216,6,0)),"",VLOOKUP($A22,'8.Non-elective admissions - CCG'!$E$5:$Q$216,6,0))</f>
        <v>6944</v>
      </c>
      <c r="E22" s="585">
        <f>IF(ISERROR(VLOOKUP($A22,'8.Non-elective admissions - CCG'!$E$5:$Q$216,7,0)),"",VLOOKUP($A22,'8.Non-elective admissions - CCG'!$E$5:$Q$216,7,0))</f>
        <v>7349</v>
      </c>
      <c r="F22" s="586">
        <f>IF(ISERROR(VLOOKUP($A22,'8.Non-elective admissions - CCG'!$E$5:$Q$216,8,0)),"",VLOOKUP($A22,'8.Non-elective admissions - CCG'!$E$5:$Q$216,8,0))</f>
        <v>7288</v>
      </c>
      <c r="G22" s="601">
        <f>IF(ISERROR(VLOOKUP($A$1&amp;M22,'9.Non-elective admissions - Map'!$F$5:$U$899,3,0)),"",VLOOKUP($A$1&amp;M22,'9.Non-elective admissions - Map'!$F$5:$U$899,3,0))</f>
        <v>2.6317769870023763E-2</v>
      </c>
      <c r="H22" s="602">
        <f>IF(ISERROR(VLOOKUP($A$1&amp;M22,'9.Non-elective admissions - Map'!$F$5:$U$899,4,0)),"",VLOOKUP($A$1&amp;M22,'9.Non-elective admissions - Map'!$F$5:$U$899,4,0))</f>
        <v>2.6621065766973234E-2</v>
      </c>
      <c r="I22" s="603">
        <f t="shared" si="2"/>
        <v>212.83180493888216</v>
      </c>
      <c r="J22" s="604">
        <f t="shared" si="2"/>
        <v>182.75059397744502</v>
      </c>
      <c r="K22" s="604">
        <f t="shared" si="2"/>
        <v>193.40929077480465</v>
      </c>
      <c r="L22" s="605">
        <f t="shared" si="2"/>
        <v>191.80390681273317</v>
      </c>
      <c r="M22" s="228">
        <v>3</v>
      </c>
    </row>
    <row r="23" spans="1:13">
      <c r="A23" s="845" t="str">
        <f>IF(ISERROR(VLOOKUP($A$1&amp;$M23,'9.Non-elective admissions - Map'!$F$5:$U$899,2,0)),"",VLOOKUP($A$1&amp;$M23,'9.Non-elective admissions - Map'!$F$5:$U$899,2,0))</f>
        <v/>
      </c>
      <c r="B23" s="846"/>
      <c r="C23" s="600" t="str">
        <f>IF(ISERROR(VLOOKUP($A23,'8.Non-elective admissions - CCG'!$E$5:$Q$216,5,0)),"",VLOOKUP($A23,'8.Non-elective admissions - CCG'!$E$5:$Q$216,5,0))</f>
        <v/>
      </c>
      <c r="D23" s="585" t="str">
        <f>IF(ISERROR(VLOOKUP($A23,'8.Non-elective admissions - CCG'!$E$5:$Q$216,6,0)),"",VLOOKUP($A23,'8.Non-elective admissions - CCG'!$E$5:$Q$216,6,0))</f>
        <v/>
      </c>
      <c r="E23" s="585" t="str">
        <f>IF(ISERROR(VLOOKUP($A23,'8.Non-elective admissions - CCG'!$E$5:$Q$216,7,0)),"",VLOOKUP($A23,'8.Non-elective admissions - CCG'!$E$5:$Q$216,7,0))</f>
        <v/>
      </c>
      <c r="F23" s="586" t="str">
        <f>IF(ISERROR(VLOOKUP($A23,'8.Non-elective admissions - CCG'!$E$5:$Q$216,8,0)),"",VLOOKUP($A23,'8.Non-elective admissions - CCG'!$E$5:$Q$216,8,0))</f>
        <v/>
      </c>
      <c r="G23" s="601" t="str">
        <f>IF(ISERROR(VLOOKUP($A$1&amp;M23,'9.Non-elective admissions - Map'!$F$5:$U$899,3,0)),"",VLOOKUP($A$1&amp;M23,'9.Non-elective admissions - Map'!$F$5:$U$899,3,0))</f>
        <v/>
      </c>
      <c r="H23" s="602" t="str">
        <f>IF(ISERROR(VLOOKUP($A$1&amp;M23,'9.Non-elective admissions - Map'!$F$5:$U$899,4,0)),"",VLOOKUP($A$1&amp;M23,'9.Non-elective admissions - Map'!$F$5:$U$899,4,0))</f>
        <v/>
      </c>
      <c r="I23" s="603" t="str">
        <f t="shared" si="2"/>
        <v/>
      </c>
      <c r="J23" s="604" t="str">
        <f t="shared" si="2"/>
        <v/>
      </c>
      <c r="K23" s="604" t="str">
        <f t="shared" si="2"/>
        <v/>
      </c>
      <c r="L23" s="605" t="str">
        <f t="shared" si="2"/>
        <v/>
      </c>
      <c r="M23" s="228">
        <v>4</v>
      </c>
    </row>
    <row r="24" spans="1:13">
      <c r="A24" s="845" t="str">
        <f>IF(ISERROR(VLOOKUP($A$1&amp;$M24,'9.Non-elective admissions - Map'!$F$5:$U$899,2,0)),"",VLOOKUP($A$1&amp;$M24,'9.Non-elective admissions - Map'!$F$5:$U$899,2,0))</f>
        <v/>
      </c>
      <c r="B24" s="846"/>
      <c r="C24" s="600" t="str">
        <f>IF(ISERROR(VLOOKUP($A24,'8.Non-elective admissions - CCG'!$E$5:$Q$216,5,0)),"",VLOOKUP($A24,'8.Non-elective admissions - CCG'!$E$5:$Q$216,5,0))</f>
        <v/>
      </c>
      <c r="D24" s="585" t="str">
        <f>IF(ISERROR(VLOOKUP($A24,'8.Non-elective admissions - CCG'!$E$5:$Q$216,6,0)),"",VLOOKUP($A24,'8.Non-elective admissions - CCG'!$E$5:$Q$216,6,0))</f>
        <v/>
      </c>
      <c r="E24" s="585" t="str">
        <f>IF(ISERROR(VLOOKUP($A24,'8.Non-elective admissions - CCG'!$E$5:$Q$216,7,0)),"",VLOOKUP($A24,'8.Non-elective admissions - CCG'!$E$5:$Q$216,7,0))</f>
        <v/>
      </c>
      <c r="F24" s="586" t="str">
        <f>IF(ISERROR(VLOOKUP($A24,'8.Non-elective admissions - CCG'!$E$5:$Q$216,8,0)),"",VLOOKUP($A24,'8.Non-elective admissions - CCG'!$E$5:$Q$216,8,0))</f>
        <v/>
      </c>
      <c r="G24" s="601" t="str">
        <f>IF(ISERROR(VLOOKUP($A$1&amp;M24,'9.Non-elective admissions - Map'!$F$5:$U$899,3,0)),"",VLOOKUP($A$1&amp;M24,'9.Non-elective admissions - Map'!$F$5:$U$899,3,0))</f>
        <v/>
      </c>
      <c r="H24" s="602" t="str">
        <f>IF(ISERROR(VLOOKUP($A$1&amp;M24,'9.Non-elective admissions - Map'!$F$5:$U$899,4,0)),"",VLOOKUP($A$1&amp;M24,'9.Non-elective admissions - Map'!$F$5:$U$899,4,0))</f>
        <v/>
      </c>
      <c r="I24" s="603" t="str">
        <f t="shared" si="2"/>
        <v/>
      </c>
      <c r="J24" s="604" t="str">
        <f t="shared" ref="J24:J40" si="3">IF($G24="","",D24*$G24)</f>
        <v/>
      </c>
      <c r="K24" s="604" t="str">
        <f t="shared" ref="K24:K40" si="4">IF($G24="","",E24*$G24)</f>
        <v/>
      </c>
      <c r="L24" s="605" t="str">
        <f t="shared" ref="L24:L40" si="5">IF($G24="","",F24*$G24)</f>
        <v/>
      </c>
      <c r="M24" s="228">
        <v>5</v>
      </c>
    </row>
    <row r="25" spans="1:13">
      <c r="A25" s="845" t="str">
        <f>IF(ISERROR(VLOOKUP($A$1&amp;$M25,'9.Non-elective admissions - Map'!$F$5:$U$899,2,0)),"",VLOOKUP($A$1&amp;$M25,'9.Non-elective admissions - Map'!$F$5:$U$899,2,0))</f>
        <v/>
      </c>
      <c r="B25" s="846"/>
      <c r="C25" s="600" t="str">
        <f>IF(ISERROR(VLOOKUP($A25,'8.Non-elective admissions - CCG'!$E$5:$Q$216,5,0)),"",VLOOKUP($A25,'8.Non-elective admissions - CCG'!$E$5:$Q$216,5,0))</f>
        <v/>
      </c>
      <c r="D25" s="585" t="str">
        <f>IF(ISERROR(VLOOKUP($A25,'8.Non-elective admissions - CCG'!$E$5:$Q$216,6,0)),"",VLOOKUP($A25,'8.Non-elective admissions - CCG'!$E$5:$Q$216,6,0))</f>
        <v/>
      </c>
      <c r="E25" s="585" t="str">
        <f>IF(ISERROR(VLOOKUP($A25,'8.Non-elective admissions - CCG'!$E$5:$Q$216,7,0)),"",VLOOKUP($A25,'8.Non-elective admissions - CCG'!$E$5:$Q$216,7,0))</f>
        <v/>
      </c>
      <c r="F25" s="586" t="str">
        <f>IF(ISERROR(VLOOKUP($A25,'8.Non-elective admissions - CCG'!$E$5:$Q$216,8,0)),"",VLOOKUP($A25,'8.Non-elective admissions - CCG'!$E$5:$Q$216,8,0))</f>
        <v/>
      </c>
      <c r="G25" s="601" t="str">
        <f>IF(ISERROR(VLOOKUP($A$1&amp;M25,'9.Non-elective admissions - Map'!$F$5:$U$899,3,0)),"",VLOOKUP($A$1&amp;M25,'9.Non-elective admissions - Map'!$F$5:$U$899,3,0))</f>
        <v/>
      </c>
      <c r="H25" s="602" t="str">
        <f>IF(ISERROR(VLOOKUP($A$1&amp;M25,'9.Non-elective admissions - Map'!$F$5:$U$899,4,0)),"",VLOOKUP($A$1&amp;M25,'9.Non-elective admissions - Map'!$F$5:$U$899,4,0))</f>
        <v/>
      </c>
      <c r="I25" s="603" t="str">
        <f t="shared" si="2"/>
        <v/>
      </c>
      <c r="J25" s="604" t="str">
        <f t="shared" si="3"/>
        <v/>
      </c>
      <c r="K25" s="604" t="str">
        <f t="shared" si="4"/>
        <v/>
      </c>
      <c r="L25" s="605" t="str">
        <f t="shared" si="5"/>
        <v/>
      </c>
      <c r="M25" s="228">
        <v>6</v>
      </c>
    </row>
    <row r="26" spans="1:13">
      <c r="A26" s="845" t="str">
        <f>IF(ISERROR(VLOOKUP($A$1&amp;$M26,'9.Non-elective admissions - Map'!$F$5:$U$899,2,0)),"",VLOOKUP($A$1&amp;$M26,'9.Non-elective admissions - Map'!$F$5:$U$899,2,0))</f>
        <v/>
      </c>
      <c r="B26" s="846"/>
      <c r="C26" s="600" t="str">
        <f>IF(ISERROR(VLOOKUP($A26,'8.Non-elective admissions - CCG'!$E$5:$Q$216,5,0)),"",VLOOKUP($A26,'8.Non-elective admissions - CCG'!$E$5:$Q$216,5,0))</f>
        <v/>
      </c>
      <c r="D26" s="585" t="str">
        <f>IF(ISERROR(VLOOKUP($A26,'8.Non-elective admissions - CCG'!$E$5:$Q$216,6,0)),"",VLOOKUP($A26,'8.Non-elective admissions - CCG'!$E$5:$Q$216,6,0))</f>
        <v/>
      </c>
      <c r="E26" s="585" t="str">
        <f>IF(ISERROR(VLOOKUP($A26,'8.Non-elective admissions - CCG'!$E$5:$Q$216,7,0)),"",VLOOKUP($A26,'8.Non-elective admissions - CCG'!$E$5:$Q$216,7,0))</f>
        <v/>
      </c>
      <c r="F26" s="586" t="str">
        <f>IF(ISERROR(VLOOKUP($A26,'8.Non-elective admissions - CCG'!$E$5:$Q$216,8,0)),"",VLOOKUP($A26,'8.Non-elective admissions - CCG'!$E$5:$Q$216,8,0))</f>
        <v/>
      </c>
      <c r="G26" s="601" t="str">
        <f>IF(ISERROR(VLOOKUP($A$1&amp;M26,'9.Non-elective admissions - Map'!$F$5:$U$899,3,0)),"",VLOOKUP($A$1&amp;M26,'9.Non-elective admissions - Map'!$F$5:$U$899,3,0))</f>
        <v/>
      </c>
      <c r="H26" s="602" t="str">
        <f>IF(ISERROR(VLOOKUP($A$1&amp;M26,'9.Non-elective admissions - Map'!$F$5:$U$899,4,0)),"",VLOOKUP($A$1&amp;M26,'9.Non-elective admissions - Map'!$F$5:$U$899,4,0))</f>
        <v/>
      </c>
      <c r="I26" s="603" t="str">
        <f t="shared" si="2"/>
        <v/>
      </c>
      <c r="J26" s="604" t="str">
        <f t="shared" si="3"/>
        <v/>
      </c>
      <c r="K26" s="604" t="str">
        <f t="shared" si="4"/>
        <v/>
      </c>
      <c r="L26" s="605" t="str">
        <f t="shared" si="5"/>
        <v/>
      </c>
      <c r="M26" s="228">
        <v>7</v>
      </c>
    </row>
    <row r="27" spans="1:13">
      <c r="A27" s="845" t="str">
        <f>IF(ISERROR(VLOOKUP($A$1&amp;$M27,'9.Non-elective admissions - Map'!$F$5:$U$899,2,0)),"",VLOOKUP($A$1&amp;$M27,'9.Non-elective admissions - Map'!$F$5:$U$899,2,0))</f>
        <v/>
      </c>
      <c r="B27" s="846"/>
      <c r="C27" s="600" t="str">
        <f>IF(ISERROR(VLOOKUP($A27,'8.Non-elective admissions - CCG'!$E$5:$Q$216,5,0)),"",VLOOKUP($A27,'8.Non-elective admissions - CCG'!$E$5:$Q$216,5,0))</f>
        <v/>
      </c>
      <c r="D27" s="585" t="str">
        <f>IF(ISERROR(VLOOKUP($A27,'8.Non-elective admissions - CCG'!$E$5:$Q$216,6,0)),"",VLOOKUP($A27,'8.Non-elective admissions - CCG'!$E$5:$Q$216,6,0))</f>
        <v/>
      </c>
      <c r="E27" s="585" t="str">
        <f>IF(ISERROR(VLOOKUP($A27,'8.Non-elective admissions - CCG'!$E$5:$Q$216,7,0)),"",VLOOKUP($A27,'8.Non-elective admissions - CCG'!$E$5:$Q$216,7,0))</f>
        <v/>
      </c>
      <c r="F27" s="586" t="str">
        <f>IF(ISERROR(VLOOKUP($A27,'8.Non-elective admissions - CCG'!$E$5:$Q$216,8,0)),"",VLOOKUP($A27,'8.Non-elective admissions - CCG'!$E$5:$Q$216,8,0))</f>
        <v/>
      </c>
      <c r="G27" s="601" t="str">
        <f>IF(ISERROR(VLOOKUP($A$1&amp;M27,'9.Non-elective admissions - Map'!$F$5:$U$899,3,0)),"",VLOOKUP($A$1&amp;M27,'9.Non-elective admissions - Map'!$F$5:$U$899,3,0))</f>
        <v/>
      </c>
      <c r="H27" s="602" t="str">
        <f>IF(ISERROR(VLOOKUP($A$1&amp;M27,'9.Non-elective admissions - Map'!$F$5:$U$899,4,0)),"",VLOOKUP($A$1&amp;M27,'9.Non-elective admissions - Map'!$F$5:$U$899,4,0))</f>
        <v/>
      </c>
      <c r="I27" s="603" t="str">
        <f t="shared" si="2"/>
        <v/>
      </c>
      <c r="J27" s="604" t="str">
        <f t="shared" si="3"/>
        <v/>
      </c>
      <c r="K27" s="604" t="str">
        <f t="shared" si="4"/>
        <v/>
      </c>
      <c r="L27" s="605" t="str">
        <f t="shared" si="5"/>
        <v/>
      </c>
      <c r="M27" s="228">
        <v>8</v>
      </c>
    </row>
    <row r="28" spans="1:13">
      <c r="A28" s="845" t="str">
        <f>IF(ISERROR(VLOOKUP($A$1&amp;$M28,'9.Non-elective admissions - Map'!$F$5:$U$899,2,0)),"",VLOOKUP($A$1&amp;$M28,'9.Non-elective admissions - Map'!$F$5:$U$899,2,0))</f>
        <v/>
      </c>
      <c r="B28" s="846"/>
      <c r="C28" s="600" t="str">
        <f>IF(ISERROR(VLOOKUP($A28,'8.Non-elective admissions - CCG'!$E$5:$Q$216,5,0)),"",VLOOKUP($A28,'8.Non-elective admissions - CCG'!$E$5:$Q$216,5,0))</f>
        <v/>
      </c>
      <c r="D28" s="585" t="str">
        <f>IF(ISERROR(VLOOKUP($A28,'8.Non-elective admissions - CCG'!$E$5:$Q$216,6,0)),"",VLOOKUP($A28,'8.Non-elective admissions - CCG'!$E$5:$Q$216,6,0))</f>
        <v/>
      </c>
      <c r="E28" s="585" t="str">
        <f>IF(ISERROR(VLOOKUP($A28,'8.Non-elective admissions - CCG'!$E$5:$Q$216,7,0)),"",VLOOKUP($A28,'8.Non-elective admissions - CCG'!$E$5:$Q$216,7,0))</f>
        <v/>
      </c>
      <c r="F28" s="586" t="str">
        <f>IF(ISERROR(VLOOKUP($A28,'8.Non-elective admissions - CCG'!$E$5:$Q$216,8,0)),"",VLOOKUP($A28,'8.Non-elective admissions - CCG'!$E$5:$Q$216,8,0))</f>
        <v/>
      </c>
      <c r="G28" s="601" t="str">
        <f>IF(ISERROR(VLOOKUP($A$1&amp;M28,'9.Non-elective admissions - Map'!$F$5:$U$899,3,0)),"",VLOOKUP($A$1&amp;M28,'9.Non-elective admissions - Map'!$F$5:$U$899,3,0))</f>
        <v/>
      </c>
      <c r="H28" s="602" t="str">
        <f>IF(ISERROR(VLOOKUP($A$1&amp;M28,'9.Non-elective admissions - Map'!$F$5:$U$899,4,0)),"",VLOOKUP($A$1&amp;M28,'9.Non-elective admissions - Map'!$F$5:$U$899,4,0))</f>
        <v/>
      </c>
      <c r="I28" s="603" t="str">
        <f t="shared" si="2"/>
        <v/>
      </c>
      <c r="J28" s="604" t="str">
        <f t="shared" si="3"/>
        <v/>
      </c>
      <c r="K28" s="604" t="str">
        <f t="shared" si="4"/>
        <v/>
      </c>
      <c r="L28" s="605" t="str">
        <f t="shared" si="5"/>
        <v/>
      </c>
      <c r="M28" s="228">
        <v>9</v>
      </c>
    </row>
    <row r="29" spans="1:13">
      <c r="A29" s="845" t="str">
        <f>IF(ISERROR(VLOOKUP($A$1&amp;$M29,'9.Non-elective admissions - Map'!$F$5:$U$899,2,0)),"",VLOOKUP($A$1&amp;$M29,'9.Non-elective admissions - Map'!$F$5:$U$899,2,0))</f>
        <v/>
      </c>
      <c r="B29" s="846"/>
      <c r="C29" s="600" t="str">
        <f>IF(ISERROR(VLOOKUP($A29,'8.Non-elective admissions - CCG'!$E$5:$Q$216,5,0)),"",VLOOKUP($A29,'8.Non-elective admissions - CCG'!$E$5:$Q$216,5,0))</f>
        <v/>
      </c>
      <c r="D29" s="585" t="str">
        <f>IF(ISERROR(VLOOKUP($A29,'8.Non-elective admissions - CCG'!$E$5:$Q$216,6,0)),"",VLOOKUP($A29,'8.Non-elective admissions - CCG'!$E$5:$Q$216,6,0))</f>
        <v/>
      </c>
      <c r="E29" s="585" t="str">
        <f>IF(ISERROR(VLOOKUP($A29,'8.Non-elective admissions - CCG'!$E$5:$Q$216,7,0)),"",VLOOKUP($A29,'8.Non-elective admissions - CCG'!$E$5:$Q$216,7,0))</f>
        <v/>
      </c>
      <c r="F29" s="586" t="str">
        <f>IF(ISERROR(VLOOKUP($A29,'8.Non-elective admissions - CCG'!$E$5:$Q$216,8,0)),"",VLOOKUP($A29,'8.Non-elective admissions - CCG'!$E$5:$Q$216,8,0))</f>
        <v/>
      </c>
      <c r="G29" s="601" t="str">
        <f>IF(ISERROR(VLOOKUP($A$1&amp;M29,'9.Non-elective admissions - Map'!$F$5:$U$899,3,0)),"",VLOOKUP($A$1&amp;M29,'9.Non-elective admissions - Map'!$F$5:$U$899,3,0))</f>
        <v/>
      </c>
      <c r="H29" s="602" t="str">
        <f>IF(ISERROR(VLOOKUP($A$1&amp;M29,'9.Non-elective admissions - Map'!$F$5:$U$899,4,0)),"",VLOOKUP($A$1&amp;M29,'9.Non-elective admissions - Map'!$F$5:$U$899,4,0))</f>
        <v/>
      </c>
      <c r="I29" s="603" t="str">
        <f t="shared" si="2"/>
        <v/>
      </c>
      <c r="J29" s="604" t="str">
        <f t="shared" si="3"/>
        <v/>
      </c>
      <c r="K29" s="604" t="str">
        <f t="shared" si="4"/>
        <v/>
      </c>
      <c r="L29" s="605" t="str">
        <f t="shared" si="5"/>
        <v/>
      </c>
      <c r="M29" s="228">
        <v>10</v>
      </c>
    </row>
    <row r="30" spans="1:13">
      <c r="A30" s="845" t="str">
        <f>IF(ISERROR(VLOOKUP($A$1&amp;$M30,'9.Non-elective admissions - Map'!$F$5:$U$899,2,0)),"",VLOOKUP($A$1&amp;$M30,'9.Non-elective admissions - Map'!$F$5:$U$899,2,0))</f>
        <v/>
      </c>
      <c r="B30" s="846"/>
      <c r="C30" s="600" t="str">
        <f>IF(ISERROR(VLOOKUP($A30,'8.Non-elective admissions - CCG'!$E$5:$Q$216,5,0)),"",VLOOKUP($A30,'8.Non-elective admissions - CCG'!$E$5:$Q$216,5,0))</f>
        <v/>
      </c>
      <c r="D30" s="585" t="str">
        <f>IF(ISERROR(VLOOKUP($A30,'8.Non-elective admissions - CCG'!$E$5:$Q$216,6,0)),"",VLOOKUP($A30,'8.Non-elective admissions - CCG'!$E$5:$Q$216,6,0))</f>
        <v/>
      </c>
      <c r="E30" s="585" t="str">
        <f>IF(ISERROR(VLOOKUP($A30,'8.Non-elective admissions - CCG'!$E$5:$Q$216,7,0)),"",VLOOKUP($A30,'8.Non-elective admissions - CCG'!$E$5:$Q$216,7,0))</f>
        <v/>
      </c>
      <c r="F30" s="586" t="str">
        <f>IF(ISERROR(VLOOKUP($A30,'8.Non-elective admissions - CCG'!$E$5:$Q$216,8,0)),"",VLOOKUP($A30,'8.Non-elective admissions - CCG'!$E$5:$Q$216,8,0))</f>
        <v/>
      </c>
      <c r="G30" s="601" t="str">
        <f>IF(ISERROR(VLOOKUP($A$1&amp;M30,'9.Non-elective admissions - Map'!$F$5:$U$899,3,0)),"",VLOOKUP($A$1&amp;M30,'9.Non-elective admissions - Map'!$F$5:$U$899,3,0))</f>
        <v/>
      </c>
      <c r="H30" s="602" t="str">
        <f>IF(ISERROR(VLOOKUP($A$1&amp;M30,'9.Non-elective admissions - Map'!$F$5:$U$899,4,0)),"",VLOOKUP($A$1&amp;M30,'9.Non-elective admissions - Map'!$F$5:$U$899,4,0))</f>
        <v/>
      </c>
      <c r="I30" s="603" t="str">
        <f t="shared" si="2"/>
        <v/>
      </c>
      <c r="J30" s="604" t="str">
        <f t="shared" si="3"/>
        <v/>
      </c>
      <c r="K30" s="604" t="str">
        <f t="shared" si="4"/>
        <v/>
      </c>
      <c r="L30" s="605" t="str">
        <f t="shared" si="5"/>
        <v/>
      </c>
      <c r="M30" s="228">
        <v>11</v>
      </c>
    </row>
    <row r="31" spans="1:13">
      <c r="A31" s="845" t="str">
        <f>IF(ISERROR(VLOOKUP($A$1&amp;$M31,'9.Non-elective admissions - Map'!$F$5:$U$899,2,0)),"",VLOOKUP($A$1&amp;$M31,'9.Non-elective admissions - Map'!$F$5:$U$899,2,0))</f>
        <v/>
      </c>
      <c r="B31" s="846"/>
      <c r="C31" s="600" t="str">
        <f>IF(ISERROR(VLOOKUP($A31,'8.Non-elective admissions - CCG'!$E$5:$Q$216,5,0)),"",VLOOKUP($A31,'8.Non-elective admissions - CCG'!$E$5:$Q$216,5,0))</f>
        <v/>
      </c>
      <c r="D31" s="585" t="str">
        <f>IF(ISERROR(VLOOKUP($A31,'8.Non-elective admissions - CCG'!$E$5:$Q$216,6,0)),"",VLOOKUP($A31,'8.Non-elective admissions - CCG'!$E$5:$Q$216,6,0))</f>
        <v/>
      </c>
      <c r="E31" s="585" t="str">
        <f>IF(ISERROR(VLOOKUP($A31,'8.Non-elective admissions - CCG'!$E$5:$Q$216,7,0)),"",VLOOKUP($A31,'8.Non-elective admissions - CCG'!$E$5:$Q$216,7,0))</f>
        <v/>
      </c>
      <c r="F31" s="586" t="str">
        <f>IF(ISERROR(VLOOKUP($A31,'8.Non-elective admissions - CCG'!$E$5:$Q$216,8,0)),"",VLOOKUP($A31,'8.Non-elective admissions - CCG'!$E$5:$Q$216,8,0))</f>
        <v/>
      </c>
      <c r="G31" s="601" t="str">
        <f>IF(ISERROR(VLOOKUP($A$1&amp;M31,'9.Non-elective admissions - Map'!$F$5:$U$899,3,0)),"",VLOOKUP($A$1&amp;M31,'9.Non-elective admissions - Map'!$F$5:$U$899,3,0))</f>
        <v/>
      </c>
      <c r="H31" s="602" t="str">
        <f>IF(ISERROR(VLOOKUP($A$1&amp;M31,'9.Non-elective admissions - Map'!$F$5:$U$899,4,0)),"",VLOOKUP($A$1&amp;M31,'9.Non-elective admissions - Map'!$F$5:$U$899,4,0))</f>
        <v/>
      </c>
      <c r="I31" s="603" t="str">
        <f t="shared" si="2"/>
        <v/>
      </c>
      <c r="J31" s="604" t="str">
        <f t="shared" si="3"/>
        <v/>
      </c>
      <c r="K31" s="604" t="str">
        <f t="shared" si="4"/>
        <v/>
      </c>
      <c r="L31" s="605" t="str">
        <f t="shared" si="5"/>
        <v/>
      </c>
      <c r="M31" s="228">
        <v>12</v>
      </c>
    </row>
    <row r="32" spans="1:13">
      <c r="A32" s="845" t="str">
        <f>IF(ISERROR(VLOOKUP($A$1&amp;$M32,'9.Non-elective admissions - Map'!$F$5:$U$899,2,0)),"",VLOOKUP($A$1&amp;$M32,'9.Non-elective admissions - Map'!$F$5:$U$899,2,0))</f>
        <v/>
      </c>
      <c r="B32" s="846"/>
      <c r="C32" s="600" t="str">
        <f>IF(ISERROR(VLOOKUP($A32,'8.Non-elective admissions - CCG'!$E$5:$Q$216,5,0)),"",VLOOKUP($A32,'8.Non-elective admissions - CCG'!$E$5:$Q$216,5,0))</f>
        <v/>
      </c>
      <c r="D32" s="585" t="str">
        <f>IF(ISERROR(VLOOKUP($A32,'8.Non-elective admissions - CCG'!$E$5:$Q$216,6,0)),"",VLOOKUP($A32,'8.Non-elective admissions - CCG'!$E$5:$Q$216,6,0))</f>
        <v/>
      </c>
      <c r="E32" s="585" t="str">
        <f>IF(ISERROR(VLOOKUP($A32,'8.Non-elective admissions - CCG'!$E$5:$Q$216,7,0)),"",VLOOKUP($A32,'8.Non-elective admissions - CCG'!$E$5:$Q$216,7,0))</f>
        <v/>
      </c>
      <c r="F32" s="586" t="str">
        <f>IF(ISERROR(VLOOKUP($A32,'8.Non-elective admissions - CCG'!$E$5:$Q$216,8,0)),"",VLOOKUP($A32,'8.Non-elective admissions - CCG'!$E$5:$Q$216,8,0))</f>
        <v/>
      </c>
      <c r="G32" s="601" t="str">
        <f>IF(ISERROR(VLOOKUP($A$1&amp;M32,'9.Non-elective admissions - Map'!$F$5:$U$899,3,0)),"",VLOOKUP($A$1&amp;M32,'9.Non-elective admissions - Map'!$F$5:$U$899,3,0))</f>
        <v/>
      </c>
      <c r="H32" s="602" t="str">
        <f>IF(ISERROR(VLOOKUP($A$1&amp;M32,'9.Non-elective admissions - Map'!$F$5:$U$899,4,0)),"",VLOOKUP($A$1&amp;M32,'9.Non-elective admissions - Map'!$F$5:$U$899,4,0))</f>
        <v/>
      </c>
      <c r="I32" s="603" t="str">
        <f t="shared" si="2"/>
        <v/>
      </c>
      <c r="J32" s="604" t="str">
        <f t="shared" si="3"/>
        <v/>
      </c>
      <c r="K32" s="604" t="str">
        <f t="shared" si="4"/>
        <v/>
      </c>
      <c r="L32" s="605" t="str">
        <f t="shared" si="5"/>
        <v/>
      </c>
      <c r="M32" s="228">
        <v>13</v>
      </c>
    </row>
    <row r="33" spans="1:13">
      <c r="A33" s="845" t="str">
        <f>IF(ISERROR(VLOOKUP($A$1&amp;$M33,'9.Non-elective admissions - Map'!$F$5:$U$899,2,0)),"",VLOOKUP($A$1&amp;$M33,'9.Non-elective admissions - Map'!$F$5:$U$899,2,0))</f>
        <v/>
      </c>
      <c r="B33" s="846"/>
      <c r="C33" s="600" t="str">
        <f>IF(ISERROR(VLOOKUP($A33,'8.Non-elective admissions - CCG'!$E$5:$Q$216,5,0)),"",VLOOKUP($A33,'8.Non-elective admissions - CCG'!$E$5:$Q$216,5,0))</f>
        <v/>
      </c>
      <c r="D33" s="585" t="str">
        <f>IF(ISERROR(VLOOKUP($A33,'8.Non-elective admissions - CCG'!$E$5:$Q$216,6,0)),"",VLOOKUP($A33,'8.Non-elective admissions - CCG'!$E$5:$Q$216,6,0))</f>
        <v/>
      </c>
      <c r="E33" s="585" t="str">
        <f>IF(ISERROR(VLOOKUP($A33,'8.Non-elective admissions - CCG'!$E$5:$Q$216,7,0)),"",VLOOKUP($A33,'8.Non-elective admissions - CCG'!$E$5:$Q$216,7,0))</f>
        <v/>
      </c>
      <c r="F33" s="586" t="str">
        <f>IF(ISERROR(VLOOKUP($A33,'8.Non-elective admissions - CCG'!$E$5:$Q$216,8,0)),"",VLOOKUP($A33,'8.Non-elective admissions - CCG'!$E$5:$Q$216,8,0))</f>
        <v/>
      </c>
      <c r="G33" s="601" t="str">
        <f>IF(ISERROR(VLOOKUP($A$1&amp;M33,'9.Non-elective admissions - Map'!$F$5:$U$899,3,0)),"",VLOOKUP($A$1&amp;M33,'9.Non-elective admissions - Map'!$F$5:$U$899,3,0))</f>
        <v/>
      </c>
      <c r="H33" s="602" t="str">
        <f>IF(ISERROR(VLOOKUP($A$1&amp;M33,'9.Non-elective admissions - Map'!$F$5:$U$899,4,0)),"",VLOOKUP($A$1&amp;M33,'9.Non-elective admissions - Map'!$F$5:$U$899,4,0))</f>
        <v/>
      </c>
      <c r="I33" s="603" t="str">
        <f t="shared" si="2"/>
        <v/>
      </c>
      <c r="J33" s="604" t="str">
        <f t="shared" si="3"/>
        <v/>
      </c>
      <c r="K33" s="604" t="str">
        <f t="shared" si="4"/>
        <v/>
      </c>
      <c r="L33" s="605" t="str">
        <f t="shared" si="5"/>
        <v/>
      </c>
      <c r="M33" s="228">
        <v>14</v>
      </c>
    </row>
    <row r="34" spans="1:13">
      <c r="A34" s="845" t="str">
        <f>IF(ISERROR(VLOOKUP($A$1&amp;$M34,'9.Non-elective admissions - Map'!$F$5:$U$899,2,0)),"",VLOOKUP($A$1&amp;$M34,'9.Non-elective admissions - Map'!$F$5:$U$899,2,0))</f>
        <v/>
      </c>
      <c r="B34" s="846"/>
      <c r="C34" s="600" t="str">
        <f>IF(ISERROR(VLOOKUP($A34,'8.Non-elective admissions - CCG'!$E$5:$Q$216,5,0)),"",VLOOKUP($A34,'8.Non-elective admissions - CCG'!$E$5:$Q$216,5,0))</f>
        <v/>
      </c>
      <c r="D34" s="585" t="str">
        <f>IF(ISERROR(VLOOKUP($A34,'8.Non-elective admissions - CCG'!$E$5:$Q$216,6,0)),"",VLOOKUP($A34,'8.Non-elective admissions - CCG'!$E$5:$Q$216,6,0))</f>
        <v/>
      </c>
      <c r="E34" s="585" t="str">
        <f>IF(ISERROR(VLOOKUP($A34,'8.Non-elective admissions - CCG'!$E$5:$Q$216,7,0)),"",VLOOKUP($A34,'8.Non-elective admissions - CCG'!$E$5:$Q$216,7,0))</f>
        <v/>
      </c>
      <c r="F34" s="586" t="str">
        <f>IF(ISERROR(VLOOKUP($A34,'8.Non-elective admissions - CCG'!$E$5:$Q$216,8,0)),"",VLOOKUP($A34,'8.Non-elective admissions - CCG'!$E$5:$Q$216,8,0))</f>
        <v/>
      </c>
      <c r="G34" s="601" t="str">
        <f>IF(ISERROR(VLOOKUP($A$1&amp;M34,'9.Non-elective admissions - Map'!$F$5:$U$899,3,0)),"",VLOOKUP($A$1&amp;M34,'9.Non-elective admissions - Map'!$F$5:$U$899,3,0))</f>
        <v/>
      </c>
      <c r="H34" s="602" t="str">
        <f>IF(ISERROR(VLOOKUP($A$1&amp;M34,'9.Non-elective admissions - Map'!$F$5:$U$899,4,0)),"",VLOOKUP($A$1&amp;M34,'9.Non-elective admissions - Map'!$F$5:$U$899,4,0))</f>
        <v/>
      </c>
      <c r="I34" s="603" t="str">
        <f t="shared" si="2"/>
        <v/>
      </c>
      <c r="J34" s="604" t="str">
        <f t="shared" si="3"/>
        <v/>
      </c>
      <c r="K34" s="604" t="str">
        <f t="shared" si="4"/>
        <v/>
      </c>
      <c r="L34" s="605" t="str">
        <f t="shared" si="5"/>
        <v/>
      </c>
      <c r="M34" s="228">
        <v>15</v>
      </c>
    </row>
    <row r="35" spans="1:13">
      <c r="A35" s="845" t="str">
        <f>IF(ISERROR(VLOOKUP($A$1&amp;$M35,'9.Non-elective admissions - Map'!$F$5:$U$899,2,0)),"",VLOOKUP($A$1&amp;$M35,'9.Non-elective admissions - Map'!$F$5:$U$899,2,0))</f>
        <v/>
      </c>
      <c r="B35" s="846"/>
      <c r="C35" s="600" t="str">
        <f>IF(ISERROR(VLOOKUP($A35,'8.Non-elective admissions - CCG'!$E$5:$Q$216,5,0)),"",VLOOKUP($A35,'8.Non-elective admissions - CCG'!$E$5:$Q$216,5,0))</f>
        <v/>
      </c>
      <c r="D35" s="585" t="str">
        <f>IF(ISERROR(VLOOKUP($A35,'8.Non-elective admissions - CCG'!$E$5:$Q$216,6,0)),"",VLOOKUP($A35,'8.Non-elective admissions - CCG'!$E$5:$Q$216,6,0))</f>
        <v/>
      </c>
      <c r="E35" s="585" t="str">
        <f>IF(ISERROR(VLOOKUP($A35,'8.Non-elective admissions - CCG'!$E$5:$Q$216,7,0)),"",VLOOKUP($A35,'8.Non-elective admissions - CCG'!$E$5:$Q$216,7,0))</f>
        <v/>
      </c>
      <c r="F35" s="586" t="str">
        <f>IF(ISERROR(VLOOKUP($A35,'8.Non-elective admissions - CCG'!$E$5:$Q$216,8,0)),"",VLOOKUP($A35,'8.Non-elective admissions - CCG'!$E$5:$Q$216,8,0))</f>
        <v/>
      </c>
      <c r="G35" s="601" t="str">
        <f>IF(ISERROR(VLOOKUP($A$1&amp;M35,'9.Non-elective admissions - Map'!$F$5:$U$899,3,0)),"",VLOOKUP($A$1&amp;M35,'9.Non-elective admissions - Map'!$F$5:$U$899,3,0))</f>
        <v/>
      </c>
      <c r="H35" s="602" t="str">
        <f>IF(ISERROR(VLOOKUP($A$1&amp;M35,'9.Non-elective admissions - Map'!$F$5:$U$899,4,0)),"",VLOOKUP($A$1&amp;M35,'9.Non-elective admissions - Map'!$F$5:$U$899,4,0))</f>
        <v/>
      </c>
      <c r="I35" s="603" t="str">
        <f t="shared" si="2"/>
        <v/>
      </c>
      <c r="J35" s="604" t="str">
        <f t="shared" si="3"/>
        <v/>
      </c>
      <c r="K35" s="604" t="str">
        <f t="shared" si="4"/>
        <v/>
      </c>
      <c r="L35" s="605" t="str">
        <f t="shared" si="5"/>
        <v/>
      </c>
      <c r="M35" s="228">
        <v>16</v>
      </c>
    </row>
    <row r="36" spans="1:13">
      <c r="A36" s="845" t="str">
        <f>IF(ISERROR(VLOOKUP($A$1&amp;$M36,'9.Non-elective admissions - Map'!$F$5:$U$899,2,0)),"",VLOOKUP($A$1&amp;$M36,'9.Non-elective admissions - Map'!$F$5:$U$899,2,0))</f>
        <v/>
      </c>
      <c r="B36" s="846"/>
      <c r="C36" s="600" t="str">
        <f>IF(ISERROR(VLOOKUP($A36,'8.Non-elective admissions - CCG'!$E$5:$Q$216,5,0)),"",VLOOKUP($A36,'8.Non-elective admissions - CCG'!$E$5:$Q$216,5,0))</f>
        <v/>
      </c>
      <c r="D36" s="585" t="str">
        <f>IF(ISERROR(VLOOKUP($A36,'8.Non-elective admissions - CCG'!$E$5:$Q$216,6,0)),"",VLOOKUP($A36,'8.Non-elective admissions - CCG'!$E$5:$Q$216,6,0))</f>
        <v/>
      </c>
      <c r="E36" s="585" t="str">
        <f>IF(ISERROR(VLOOKUP($A36,'8.Non-elective admissions - CCG'!$E$5:$Q$216,7,0)),"",VLOOKUP($A36,'8.Non-elective admissions - CCG'!$E$5:$Q$216,7,0))</f>
        <v/>
      </c>
      <c r="F36" s="586" t="str">
        <f>IF(ISERROR(VLOOKUP($A36,'8.Non-elective admissions - CCG'!$E$5:$Q$216,8,0)),"",VLOOKUP($A36,'8.Non-elective admissions - CCG'!$E$5:$Q$216,8,0))</f>
        <v/>
      </c>
      <c r="G36" s="601" t="str">
        <f>IF(ISERROR(VLOOKUP($A$1&amp;M36,'9.Non-elective admissions - Map'!$F$5:$U$899,3,0)),"",VLOOKUP($A$1&amp;M36,'9.Non-elective admissions - Map'!$F$5:$U$899,3,0))</f>
        <v/>
      </c>
      <c r="H36" s="602" t="str">
        <f>IF(ISERROR(VLOOKUP($A$1&amp;M36,'9.Non-elective admissions - Map'!$F$5:$U$899,4,0)),"",VLOOKUP($A$1&amp;M36,'9.Non-elective admissions - Map'!$F$5:$U$899,4,0))</f>
        <v/>
      </c>
      <c r="I36" s="603" t="str">
        <f t="shared" ref="I36:I40" si="6">IF($G36="","",C36*$G36)</f>
        <v/>
      </c>
      <c r="J36" s="604" t="str">
        <f t="shared" si="3"/>
        <v/>
      </c>
      <c r="K36" s="604" t="str">
        <f t="shared" si="4"/>
        <v/>
      </c>
      <c r="L36" s="605" t="str">
        <f t="shared" si="5"/>
        <v/>
      </c>
      <c r="M36" s="228">
        <v>17</v>
      </c>
    </row>
    <row r="37" spans="1:13">
      <c r="A37" s="845" t="str">
        <f>IF(ISERROR(VLOOKUP($A$1&amp;$M37,'9.Non-elective admissions - Map'!$F$5:$U$899,2,0)),"",VLOOKUP($A$1&amp;$M37,'9.Non-elective admissions - Map'!$F$5:$U$899,2,0))</f>
        <v/>
      </c>
      <c r="B37" s="846"/>
      <c r="C37" s="600" t="str">
        <f>IF(ISERROR(VLOOKUP($A37,'8.Non-elective admissions - CCG'!$E$5:$Q$216,5,0)),"",VLOOKUP($A37,'8.Non-elective admissions - CCG'!$E$5:$Q$216,5,0))</f>
        <v/>
      </c>
      <c r="D37" s="585" t="str">
        <f>IF(ISERROR(VLOOKUP($A37,'8.Non-elective admissions - CCG'!$E$5:$Q$216,6,0)),"",VLOOKUP($A37,'8.Non-elective admissions - CCG'!$E$5:$Q$216,6,0))</f>
        <v/>
      </c>
      <c r="E37" s="585" t="str">
        <f>IF(ISERROR(VLOOKUP($A37,'8.Non-elective admissions - CCG'!$E$5:$Q$216,7,0)),"",VLOOKUP($A37,'8.Non-elective admissions - CCG'!$E$5:$Q$216,7,0))</f>
        <v/>
      </c>
      <c r="F37" s="586" t="str">
        <f>IF(ISERROR(VLOOKUP($A37,'8.Non-elective admissions - CCG'!$E$5:$Q$216,8,0)),"",VLOOKUP($A37,'8.Non-elective admissions - CCG'!$E$5:$Q$216,8,0))</f>
        <v/>
      </c>
      <c r="G37" s="601" t="str">
        <f>IF(ISERROR(VLOOKUP($A$1&amp;M37,'9.Non-elective admissions - Map'!$F$5:$U$899,3,0)),"",VLOOKUP($A$1&amp;M37,'9.Non-elective admissions - Map'!$F$5:$U$899,3,0))</f>
        <v/>
      </c>
      <c r="H37" s="602" t="str">
        <f>IF(ISERROR(VLOOKUP($A$1&amp;M37,'9.Non-elective admissions - Map'!$F$5:$U$899,4,0)),"",VLOOKUP($A$1&amp;M37,'9.Non-elective admissions - Map'!$F$5:$U$899,4,0))</f>
        <v/>
      </c>
      <c r="I37" s="603" t="str">
        <f t="shared" si="6"/>
        <v/>
      </c>
      <c r="J37" s="604" t="str">
        <f t="shared" si="3"/>
        <v/>
      </c>
      <c r="K37" s="604" t="str">
        <f t="shared" si="4"/>
        <v/>
      </c>
      <c r="L37" s="605" t="str">
        <f t="shared" si="5"/>
        <v/>
      </c>
      <c r="M37" s="228">
        <v>18</v>
      </c>
    </row>
    <row r="38" spans="1:13">
      <c r="A38" s="845" t="str">
        <f>IF(ISERROR(VLOOKUP($A$1&amp;$M38,'9.Non-elective admissions - Map'!$F$5:$U$899,2,0)),"",VLOOKUP($A$1&amp;$M38,'9.Non-elective admissions - Map'!$F$5:$U$899,2,0))</f>
        <v/>
      </c>
      <c r="B38" s="846"/>
      <c r="C38" s="600" t="str">
        <f>IF(ISERROR(VLOOKUP($A38,'8.Non-elective admissions - CCG'!$E$5:$Q$216,5,0)),"",VLOOKUP($A38,'8.Non-elective admissions - CCG'!$E$5:$Q$216,5,0))</f>
        <v/>
      </c>
      <c r="D38" s="585" t="str">
        <f>IF(ISERROR(VLOOKUP($A38,'8.Non-elective admissions - CCG'!$E$5:$Q$216,6,0)),"",VLOOKUP($A38,'8.Non-elective admissions - CCG'!$E$5:$Q$216,6,0))</f>
        <v/>
      </c>
      <c r="E38" s="585" t="str">
        <f>IF(ISERROR(VLOOKUP($A38,'8.Non-elective admissions - CCG'!$E$5:$Q$216,7,0)),"",VLOOKUP($A38,'8.Non-elective admissions - CCG'!$E$5:$Q$216,7,0))</f>
        <v/>
      </c>
      <c r="F38" s="586" t="str">
        <f>IF(ISERROR(VLOOKUP($A38,'8.Non-elective admissions - CCG'!$E$5:$Q$216,8,0)),"",VLOOKUP($A38,'8.Non-elective admissions - CCG'!$E$5:$Q$216,8,0))</f>
        <v/>
      </c>
      <c r="G38" s="601" t="str">
        <f>IF(ISERROR(VLOOKUP($A$1&amp;M38,'9.Non-elective admissions - Map'!$F$5:$U$899,3,0)),"",VLOOKUP($A$1&amp;M38,'9.Non-elective admissions - Map'!$F$5:$U$899,3,0))</f>
        <v/>
      </c>
      <c r="H38" s="602" t="str">
        <f>IF(ISERROR(VLOOKUP($A$1&amp;M38,'9.Non-elective admissions - Map'!$F$5:$U$899,4,0)),"",VLOOKUP($A$1&amp;M38,'9.Non-elective admissions - Map'!$F$5:$U$899,4,0))</f>
        <v/>
      </c>
      <c r="I38" s="603" t="str">
        <f t="shared" si="6"/>
        <v/>
      </c>
      <c r="J38" s="604" t="str">
        <f t="shared" si="3"/>
        <v/>
      </c>
      <c r="K38" s="604" t="str">
        <f t="shared" si="4"/>
        <v/>
      </c>
      <c r="L38" s="605" t="str">
        <f t="shared" si="5"/>
        <v/>
      </c>
      <c r="M38" s="228">
        <v>19</v>
      </c>
    </row>
    <row r="39" spans="1:13">
      <c r="A39" s="845" t="str">
        <f>IF(ISERROR(VLOOKUP($A$1&amp;$M39,'9.Non-elective admissions - Map'!$F$5:$U$899,2,0)),"",VLOOKUP($A$1&amp;$M39,'9.Non-elective admissions - Map'!$F$5:$U$899,2,0))</f>
        <v/>
      </c>
      <c r="B39" s="846"/>
      <c r="C39" s="600" t="str">
        <f>IF(ISERROR(VLOOKUP($A39,'8.Non-elective admissions - CCG'!$E$5:$Q$216,5,0)),"",VLOOKUP($A39,'8.Non-elective admissions - CCG'!$E$5:$Q$216,5,0))</f>
        <v/>
      </c>
      <c r="D39" s="585" t="str">
        <f>IF(ISERROR(VLOOKUP($A39,'8.Non-elective admissions - CCG'!$E$5:$Q$216,6,0)),"",VLOOKUP($A39,'8.Non-elective admissions - CCG'!$E$5:$Q$216,6,0))</f>
        <v/>
      </c>
      <c r="E39" s="585" t="str">
        <f>IF(ISERROR(VLOOKUP($A39,'8.Non-elective admissions - CCG'!$E$5:$Q$216,7,0)),"",VLOOKUP($A39,'8.Non-elective admissions - CCG'!$E$5:$Q$216,7,0))</f>
        <v/>
      </c>
      <c r="F39" s="586" t="str">
        <f>IF(ISERROR(VLOOKUP($A39,'8.Non-elective admissions - CCG'!$E$5:$Q$216,8,0)),"",VLOOKUP($A39,'8.Non-elective admissions - CCG'!$E$5:$Q$216,8,0))</f>
        <v/>
      </c>
      <c r="G39" s="601" t="str">
        <f>IF(ISERROR(VLOOKUP($A$1&amp;M39,'9.Non-elective admissions - Map'!$F$5:$U$899,3,0)),"",VLOOKUP($A$1&amp;M39,'9.Non-elective admissions - Map'!$F$5:$U$899,3,0))</f>
        <v/>
      </c>
      <c r="H39" s="602" t="str">
        <f>IF(ISERROR(VLOOKUP($A$1&amp;M39,'9.Non-elective admissions - Map'!$F$5:$U$899,4,0)),"",VLOOKUP($A$1&amp;M39,'9.Non-elective admissions - Map'!$F$5:$U$899,4,0))</f>
        <v/>
      </c>
      <c r="I39" s="603" t="str">
        <f t="shared" si="6"/>
        <v/>
      </c>
      <c r="J39" s="604" t="str">
        <f t="shared" si="3"/>
        <v/>
      </c>
      <c r="K39" s="604" t="str">
        <f t="shared" si="4"/>
        <v/>
      </c>
      <c r="L39" s="605" t="str">
        <f t="shared" si="5"/>
        <v/>
      </c>
      <c r="M39" s="228">
        <v>20</v>
      </c>
    </row>
    <row r="40" spans="1:13" ht="15.75" thickBot="1">
      <c r="A40" s="857" t="str">
        <f>IF(ISERROR(VLOOKUP($A$1&amp;$M40,'9.Non-elective admissions - Map'!$F$5:$U$899,2,0)),"",VLOOKUP($A$1&amp;$M40,'9.Non-elective admissions - Map'!$F$5:$U$899,2,0))</f>
        <v/>
      </c>
      <c r="B40" s="858"/>
      <c r="C40" s="606" t="str">
        <f>IF(ISERROR(VLOOKUP($A40,'8.Non-elective admissions - CCG'!$E$5:$Q$216,5,0)),"",VLOOKUP($A40,'8.Non-elective admissions - CCG'!$E$5:$Q$216,5,0))</f>
        <v/>
      </c>
      <c r="D40" s="587" t="str">
        <f>IF(ISERROR(VLOOKUP($A40,'8.Non-elective admissions - CCG'!$E$5:$Q$216,6,0)),"",VLOOKUP($A40,'8.Non-elective admissions - CCG'!$E$5:$Q$216,6,0))</f>
        <v/>
      </c>
      <c r="E40" s="587" t="str">
        <f>IF(ISERROR(VLOOKUP($A40,'8.Non-elective admissions - CCG'!$E$5:$Q$216,7,0)),"",VLOOKUP($A40,'8.Non-elective admissions - CCG'!$E$5:$Q$216,7,0))</f>
        <v/>
      </c>
      <c r="F40" s="588" t="str">
        <f>IF(ISERROR(VLOOKUP($A40,'8.Non-elective admissions - CCG'!$E$5:$Q$216,8,0)),"",VLOOKUP($A40,'8.Non-elective admissions - CCG'!$E$5:$Q$216,8,0))</f>
        <v/>
      </c>
      <c r="G40" s="607" t="str">
        <f>IF(ISERROR(VLOOKUP($A$1&amp;M40,'9.Non-elective admissions - Map'!$F$5:$U$899,3,0)),"",VLOOKUP($A$1&amp;M40,'9.Non-elective admissions - Map'!$F$5:$U$899,3,0))</f>
        <v/>
      </c>
      <c r="H40" s="608" t="str">
        <f>IF(ISERROR(VLOOKUP($A$1&amp;M40,'9.Non-elective admissions - Map'!$F$5:$U$899,4,0)),"",VLOOKUP($A$1&amp;M40,'9.Non-elective admissions - Map'!$F$5:$U$899,4,0))</f>
        <v/>
      </c>
      <c r="I40" s="617" t="str">
        <f t="shared" si="6"/>
        <v/>
      </c>
      <c r="J40" s="618" t="str">
        <f t="shared" si="3"/>
        <v/>
      </c>
      <c r="K40" s="618" t="str">
        <f t="shared" si="4"/>
        <v/>
      </c>
      <c r="L40" s="619" t="str">
        <f t="shared" si="5"/>
        <v/>
      </c>
      <c r="M40" s="228">
        <v>21</v>
      </c>
    </row>
    <row r="41" spans="1:13">
      <c r="A41" s="856" t="s">
        <v>644</v>
      </c>
      <c r="B41" s="856"/>
      <c r="C41" s="609"/>
      <c r="D41" s="138"/>
      <c r="E41" s="138"/>
      <c r="F41" s="138"/>
      <c r="G41" s="138"/>
      <c r="H41" s="610">
        <f>SUM(H20:H40)</f>
        <v>0.99999999999999978</v>
      </c>
      <c r="I41" s="611">
        <f>SUM(I20:I40)</f>
        <v>8276.4607079068955</v>
      </c>
      <c r="J41" s="611">
        <f t="shared" ref="J41:L41" si="7">SUM(J20:J40)</f>
        <v>6629.3461144412522</v>
      </c>
      <c r="K41" s="611">
        <f t="shared" si="7"/>
        <v>7050.3076498427881</v>
      </c>
      <c r="L41" s="611">
        <f t="shared" si="7"/>
        <v>6975.9316246623948</v>
      </c>
    </row>
    <row r="43" spans="1:13">
      <c r="A43" s="612" t="s">
        <v>1277</v>
      </c>
    </row>
    <row r="44" spans="1:13">
      <c r="A44" s="820" t="s">
        <v>1837</v>
      </c>
      <c r="B44" s="821"/>
      <c r="C44" s="821"/>
      <c r="D44" s="821"/>
      <c r="E44" s="821"/>
      <c r="F44" s="821"/>
      <c r="G44" s="821"/>
      <c r="H44" s="821"/>
      <c r="I44" s="821"/>
      <c r="J44" s="821"/>
    </row>
    <row r="45" spans="1:13">
      <c r="A45" s="821"/>
      <c r="B45" s="821"/>
      <c r="C45" s="821"/>
      <c r="D45" s="821"/>
      <c r="E45" s="821"/>
      <c r="F45" s="821"/>
      <c r="G45" s="821"/>
      <c r="H45" s="821"/>
      <c r="I45" s="821"/>
      <c r="J45" s="821"/>
    </row>
    <row r="46" spans="1:13">
      <c r="A46" s="821"/>
      <c r="B46" s="821"/>
      <c r="C46" s="821"/>
      <c r="D46" s="821"/>
      <c r="E46" s="821"/>
      <c r="F46" s="821"/>
      <c r="G46" s="821"/>
      <c r="H46" s="821"/>
      <c r="I46" s="821"/>
      <c r="J46" s="821"/>
    </row>
    <row r="47" spans="1:13">
      <c r="A47" s="821"/>
      <c r="B47" s="821"/>
      <c r="C47" s="821"/>
      <c r="D47" s="821"/>
      <c r="E47" s="821"/>
      <c r="F47" s="821"/>
      <c r="G47" s="821"/>
      <c r="H47" s="821"/>
      <c r="I47" s="821"/>
      <c r="J47" s="821"/>
    </row>
  </sheetData>
  <sheetProtection password="DABD" sheet="1" objects="1" scenarios="1" formatColumns="0" formatRows="0" autoFilter="0"/>
  <mergeCells count="48">
    <mergeCell ref="I18:L18"/>
    <mergeCell ref="G6:J6"/>
    <mergeCell ref="F14:G14"/>
    <mergeCell ref="F13:G13"/>
    <mergeCell ref="F12:G12"/>
    <mergeCell ref="J7:J8"/>
    <mergeCell ref="K7:K8"/>
    <mergeCell ref="I7:I8"/>
    <mergeCell ref="I13:I15"/>
    <mergeCell ref="G18:G19"/>
    <mergeCell ref="C18:F18"/>
    <mergeCell ref="M8:M12"/>
    <mergeCell ref="A41:B41"/>
    <mergeCell ref="A37:B37"/>
    <mergeCell ref="A38:B38"/>
    <mergeCell ref="A39:B39"/>
    <mergeCell ref="A40:B40"/>
    <mergeCell ref="A32:B32"/>
    <mergeCell ref="A33:B33"/>
    <mergeCell ref="A34:B34"/>
    <mergeCell ref="A35:B35"/>
    <mergeCell ref="A36:B36"/>
    <mergeCell ref="A27:B27"/>
    <mergeCell ref="A28:B28"/>
    <mergeCell ref="A29:B29"/>
    <mergeCell ref="A30:B30"/>
    <mergeCell ref="A31:B31"/>
    <mergeCell ref="A24:B24"/>
    <mergeCell ref="A23:B23"/>
    <mergeCell ref="A22:B22"/>
    <mergeCell ref="A21:B21"/>
    <mergeCell ref="A20:B20"/>
    <mergeCell ref="A44:J47"/>
    <mergeCell ref="K13:K15"/>
    <mergeCell ref="A3:G4"/>
    <mergeCell ref="A9:A11"/>
    <mergeCell ref="F7:F8"/>
    <mergeCell ref="G7:G8"/>
    <mergeCell ref="H7:H8"/>
    <mergeCell ref="A6:B8"/>
    <mergeCell ref="D7:D8"/>
    <mergeCell ref="E7:E8"/>
    <mergeCell ref="C7:C8"/>
    <mergeCell ref="C6:F6"/>
    <mergeCell ref="A25:B25"/>
    <mergeCell ref="A26:B26"/>
    <mergeCell ref="A18:B19"/>
    <mergeCell ref="H18:H19"/>
  </mergeCells>
  <conditionalFormatting sqref="H13">
    <cfRule type="expression" dxfId="26" priority="3">
      <formula>H13&lt;=-0.035</formula>
    </cfRule>
    <cfRule type="expression" dxfId="25" priority="4">
      <formula>AND(H13&lt;=0,H13&gt;-0.035)</formula>
    </cfRule>
    <cfRule type="expression" dxfId="24" priority="5">
      <formula>AND(H13&gt;0,H13&lt;1000000)</formula>
    </cfRule>
  </conditionalFormatting>
  <conditionalFormatting sqref="G10:K10">
    <cfRule type="expression" dxfId="23" priority="1">
      <formula>OR(G10&lt;0,G10&gt;G11)</formula>
    </cfRule>
    <cfRule type="expression" dxfId="22" priority="2">
      <formula>ISTEXT(G10)</formula>
    </cfRule>
  </conditionalFormatting>
  <pageMargins left="0.7" right="0.7" top="0.75" bottom="0.75" header="0.3" footer="0.3"/>
  <pageSetup paperSize="9" scale="28" orientation="landscape" r:id="rId1"/>
  <ignoredErrors>
    <ignoredError sqref="C10:F10 D20:F4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Guidance</vt:lpstr>
      <vt:lpstr>HWB ID</vt:lpstr>
      <vt:lpstr>Payment for Performance</vt:lpstr>
      <vt:lpstr>1. HWB Funding Sources</vt:lpstr>
      <vt:lpstr>2. Summary</vt:lpstr>
      <vt:lpstr>3. HWB Expenditure Plan</vt:lpstr>
      <vt:lpstr>4. HWB Benefits Plan</vt:lpstr>
      <vt:lpstr>Intro</vt:lpstr>
      <vt:lpstr>5. HWB P4P metric</vt:lpstr>
      <vt:lpstr>6. HWB Supporting Metrics</vt:lpstr>
      <vt:lpstr>7. Metric trends</vt:lpstr>
      <vt:lpstr>List of Modifications</vt:lpstr>
      <vt:lpstr>a</vt:lpstr>
      <vt:lpstr>Extraction sheet</vt:lpstr>
      <vt:lpstr>8.Non-elective admissions - CCG</vt:lpstr>
      <vt:lpstr>9.Non-elective admissions - Map</vt:lpstr>
      <vt:lpstr>10.Non-elective admissions -HWB</vt:lpstr>
      <vt:lpstr>Data</vt:lpstr>
      <vt:lpstr>Sheet2</vt:lpstr>
      <vt:lpstr>'3. HWB Expenditure Plan'!Print_Area</vt:lpstr>
      <vt:lpstr>'4. HWB Benefits Plan'!Print_Area</vt:lpstr>
      <vt:lpstr>'5. HWB P4P metric'!Print_Area</vt:lpstr>
      <vt:lpstr>'6. HWB Supporting Metrics'!Print_Area</vt:lpstr>
      <vt:lpstr>'7. Metric trends'!Print_Area</vt:lpstr>
      <vt:lpstr>'Payment for Performance'!Print_Area</vt:lpstr>
      <vt:lpstr>Tbl_BCF_HWB_1_Funding</vt:lpstr>
      <vt:lpstr>Tbl_BCF_HWB_2_Scheme_Ben</vt:lpstr>
      <vt:lpstr>Tbl_BCF_HWB_2_Scheme_Exp</vt:lpstr>
      <vt:lpstr>Tbl_BCF_HWB_2_Scheme_Min</vt:lpstr>
      <vt:lpstr>Tbl_BCF_HWB_3_Exp_Plan</vt:lpstr>
      <vt:lpstr>Tbl_BCF_HWB_4_Benefits_1415</vt:lpstr>
      <vt:lpstr>Tbl_BCF_HWB_4_Benefits_1516</vt:lpstr>
      <vt:lpstr>Tbl_BCF_HWB_Auth_CCG</vt:lpstr>
      <vt:lpstr>Tbl_BCF_HWB_Auth_Council</vt:lpstr>
      <vt:lpstr>Tbl_BCF_HWB_Auth_HWB</vt:lpstr>
      <vt:lpstr>Tbl_BCF_HWB_Metadata</vt:lpstr>
      <vt:lpstr>Tbl_BCF_HWB_PfP_Change</vt:lpstr>
      <vt:lpstr>Tbl_BCF_HWB_PfP_QBreakdown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HWB_Return_V3</dc:title>
  <dc:creator>Mark Turner</dc:creator>
  <cp:lastModifiedBy>Tracy Loach</cp:lastModifiedBy>
  <cp:lastPrinted>2014-09-18T14:04:22Z</cp:lastPrinted>
  <dcterms:created xsi:type="dcterms:W3CDTF">2014-05-27T07:58:01Z</dcterms:created>
  <dcterms:modified xsi:type="dcterms:W3CDTF">2014-11-13T15:00:12Z</dcterms:modified>
</cp:coreProperties>
</file>